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4625" activeTab="0"/>
  </bookViews>
  <sheets>
    <sheet name="time" sheetId="1" r:id="rId1"/>
    <sheet name="to do" sheetId="2" r:id="rId2"/>
    <sheet name="cost" sheetId="3" r:id="rId3"/>
    <sheet name="gear calcs" sheetId="4" r:id="rId4"/>
    <sheet name="tube auger" sheetId="5" r:id="rId5"/>
    <sheet name="cap profiles" sheetId="6" r:id="rId6"/>
    <sheet name="sail slats" sheetId="7" r:id="rId7"/>
  </sheets>
  <definedNames/>
  <calcPr fullCalcOnLoad="1"/>
</workbook>
</file>

<file path=xl/sharedStrings.xml><?xml version="1.0" encoding="utf-8"?>
<sst xmlns="http://schemas.openxmlformats.org/spreadsheetml/2006/main" count="252" uniqueCount="212">
  <si>
    <t>naam</t>
  </si>
  <si>
    <t>sails, span</t>
  </si>
  <si>
    <t>All measurements in millimeters (mm)</t>
  </si>
  <si>
    <t>Fictional
Windmill</t>
  </si>
  <si>
    <t>kruiring (trundle ring diameter)</t>
  </si>
  <si>
    <t>vangwiel (brake wheel)</t>
  </si>
  <si>
    <t xml:space="preserve"> - circular pitch</t>
  </si>
  <si>
    <t xml:space="preserve"> - outside diameter</t>
  </si>
  <si>
    <t>Real
Windmill</t>
  </si>
  <si>
    <t>scale
1:16.67</t>
  </si>
  <si>
    <t>scale
1:25</t>
  </si>
  <si>
    <t>scale
1:37.5</t>
  </si>
  <si>
    <t>scale
1:75</t>
  </si>
  <si>
    <t>windshaft angle (wind as hoek)</t>
  </si>
  <si>
    <r>
      <t>12</t>
    </r>
    <r>
      <rPr>
        <sz val="11"/>
        <color indexed="8"/>
        <rFont val="Arial"/>
        <family val="2"/>
      </rPr>
      <t>°</t>
    </r>
  </si>
  <si>
    <t>ratio to Fictional Windmil (1/over)</t>
  </si>
  <si>
    <t>auger shaft angle</t>
  </si>
  <si>
    <r>
      <t>25</t>
    </r>
    <r>
      <rPr>
        <sz val="11"/>
        <color indexed="8"/>
        <rFont val="Arial"/>
        <family val="2"/>
      </rPr>
      <t>°</t>
    </r>
  </si>
  <si>
    <t>auger diameter</t>
  </si>
  <si>
    <t>auger shaft diameter</t>
  </si>
  <si>
    <t>auger shaft length</t>
  </si>
  <si>
    <t>Transfer ratio (71/32 x 41/47)</t>
  </si>
  <si>
    <t>helix pitch</t>
  </si>
  <si>
    <t>number congruent helices</t>
  </si>
  <si>
    <t>lift height (opvoerhoogte)</t>
  </si>
  <si>
    <t>final
1:16.67</t>
  </si>
  <si>
    <t>12°</t>
  </si>
  <si>
    <t>auger length</t>
  </si>
  <si>
    <t>auger blade thichness</t>
  </si>
  <si>
    <t>sails speed rpm</t>
  </si>
  <si>
    <t>estimated volume ltr/min at 10% loss</t>
  </si>
  <si>
    <t xml:space="preserve"> - number of teeth</t>
  </si>
  <si>
    <t xml:space="preserve"> - tooth thickness (at pitch circle)</t>
  </si>
  <si>
    <t xml:space="preserve"> - tooth face length</t>
  </si>
  <si>
    <t xml:space="preserve"> - tooth height (visible part)</t>
  </si>
  <si>
    <t xml:space="preserve"> - tooth thickness  (at pitch circle)</t>
  </si>
  <si>
    <t>date</t>
  </si>
  <si>
    <t>item</t>
  </si>
  <si>
    <t>cost</t>
  </si>
  <si>
    <t>flat head screws #6 x 5/8" (pkg 100)</t>
  </si>
  <si>
    <t>(4) 7ft red oak, 1 1/2" by 3 1/2"</t>
  </si>
  <si>
    <t>5ft x 5ft Baltic birch plywood 3/4"</t>
  </si>
  <si>
    <t>description</t>
  </si>
  <si>
    <t>min</t>
  </si>
  <si>
    <t>6ft human</t>
  </si>
  <si>
    <t>total hours</t>
  </si>
  <si>
    <t>stanchions</t>
  </si>
  <si>
    <t>tower</t>
  </si>
  <si>
    <t>hrs</t>
  </si>
  <si>
    <t>cap</t>
  </si>
  <si>
    <t>trundle ring</t>
  </si>
  <si>
    <t>internal mechanism</t>
  </si>
  <si>
    <t>sails</t>
  </si>
  <si>
    <t>painting</t>
  </si>
  <si>
    <t>total project time</t>
  </si>
  <si>
    <t>tower base</t>
  </si>
  <si>
    <t>(1) UHMW polyethelene 4" x 24"</t>
  </si>
  <si>
    <t>(1ft) 1/8" thick, 1-1/2" angled aluminum; 3ft</t>
  </si>
  <si>
    <t>5ft red oak 1 " by 5"</t>
  </si>
  <si>
    <t xml:space="preserve">6ft red oak 2" by 6" </t>
  </si>
  <si>
    <t>5+7ft red oak 2" by 4"</t>
  </si>
  <si>
    <t>joint blocks, branches, tail, braces, etc.</t>
  </si>
  <si>
    <t>5ft x 5ft Baltic birch plywood 1/2"</t>
  </si>
  <si>
    <t>pan head screws #10 x 1-1/2" (pkg 8)</t>
  </si>
  <si>
    <t xml:space="preserve"> - tooth thichness (at pitch circle)</t>
  </si>
  <si>
    <t xml:space="preserve"> - pitch circle diameter</t>
  </si>
  <si>
    <r>
      <t>25</t>
    </r>
    <r>
      <rPr>
        <b/>
        <sz val="11"/>
        <color indexed="10"/>
        <rFont val="Arial"/>
        <family val="2"/>
      </rPr>
      <t>°</t>
    </r>
  </si>
  <si>
    <t>upper face gear (bovenwiel/aswiel)</t>
  </si>
  <si>
    <t>wallower gear (bovenschijfloop)</t>
  </si>
  <si>
    <t>spurwheel gear (onderbonkelaar)</t>
  </si>
  <si>
    <t>auger face gear (vijzelwiel)</t>
  </si>
  <si>
    <t>total Can$</t>
  </si>
  <si>
    <t>white ash 90-3/4" x 8-1/2" x 2"</t>
  </si>
  <si>
    <t>???</t>
  </si>
  <si>
    <t>(3) 4ft 1-3/8" round dowel</t>
  </si>
  <si>
    <t>5ft  1-1/2" hemlock round moulding</t>
  </si>
  <si>
    <t>SPARE</t>
  </si>
  <si>
    <t>(6) ball bearings</t>
  </si>
  <si>
    <t>#10 x4" deck screws (pkg 100)</t>
  </si>
  <si>
    <t>#8x3" deck screws (pkg 100)</t>
  </si>
  <si>
    <t>6ft 11/16" hemlock cove moulding</t>
  </si>
  <si>
    <t>5ft 11/16" hemlock cove moulding</t>
  </si>
  <si>
    <t>(2) Aluminum angle bar 1/8x3/4x36"</t>
  </si>
  <si>
    <t>(5) 1/4"-20 24" threaded rods</t>
  </si>
  <si>
    <t>brake wheel &amp; gears</t>
  </si>
  <si>
    <t>bearing blocks, shafts</t>
  </si>
  <si>
    <t>(12) #6 x 5/8" metal screws</t>
  </si>
  <si>
    <t>canister</t>
  </si>
  <si>
    <t>10ft 6" PVC pipe</t>
  </si>
  <si>
    <t>(10) 2X6x10ft red cedar</t>
  </si>
  <si>
    <t>(12) #6 steel washers</t>
  </si>
  <si>
    <t>(4) 3-1/2" x 3/8" carriage bolds, 8 lock nuts, 12 washers</t>
  </si>
  <si>
    <t>3ft 6" PVC pipe</t>
  </si>
  <si>
    <t>total hose length (mm)</t>
  </si>
  <si>
    <t>total hose length (m)</t>
  </si>
  <si>
    <t>total hose length (ft)</t>
  </si>
  <si>
    <r>
      <t xml:space="preserve">SPEE-DRILL #8 </t>
    </r>
    <r>
      <rPr>
        <b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"</t>
    </r>
  </si>
  <si>
    <t>SPEE-DRILL #8 2-1/2"</t>
  </si>
  <si>
    <t>auger system/assembly</t>
  </si>
  <si>
    <t>50ft x 5/8" Heavy Duty 5-Ply Gardena hose</t>
  </si>
  <si>
    <t>5/8" hose inside diameter (inch)</t>
  </si>
  <si>
    <t>5/8" hose inside diameter (mm)</t>
  </si>
  <si>
    <t>volume half loop (cm3)</t>
  </si>
  <si>
    <t>estimate liters/minute</t>
  </si>
  <si>
    <t>volume one loop (torus, mm3)</t>
  </si>
  <si>
    <t>volume of 3 half loops (1 rotation, cm3)</t>
  </si>
  <si>
    <t>pitch with 3 parallel loops</t>
  </si>
  <si>
    <t>ESTIMATED PUMPED WATER VOLUME</t>
  </si>
  <si>
    <t>REQUIRED HOSE CALCULATION</t>
  </si>
  <si>
    <t>minimum auger length (mm)</t>
  </si>
  <si>
    <t>starting auger length (mm)</t>
  </si>
  <si>
    <t>measured outside diameter hose (mm)</t>
  </si>
  <si>
    <t>maximum auger diameter, inside 6" PVC pipe (mm)</t>
  </si>
  <si>
    <t>inside hose base diameter, use 4" PVC pipe (mm)</t>
  </si>
  <si>
    <t>hose centre diameter around base</t>
  </si>
  <si>
    <t>number of loops</t>
  </si>
  <si>
    <t>calc</t>
  </si>
  <si>
    <t>actual use</t>
  </si>
  <si>
    <t>loop length (mm)</t>
  </si>
  <si>
    <t>volume at sails 10 rpm, 1.9 trans ratio (cm3)</t>
  </si>
  <si>
    <t>estmated liters/minute with triple helixes</t>
  </si>
  <si>
    <t>10ft 4" PVC pipe</t>
  </si>
  <si>
    <t>3ft x 4" PVC pipe</t>
  </si>
  <si>
    <t>24ft picture wire</t>
  </si>
  <si>
    <t>front</t>
  </si>
  <si>
    <t>back</t>
  </si>
  <si>
    <t>a</t>
  </si>
  <si>
    <t>b</t>
  </si>
  <si>
    <t>c</t>
  </si>
  <si>
    <t>d</t>
  </si>
  <si>
    <t>e</t>
  </si>
  <si>
    <t>f</t>
  </si>
  <si>
    <t>g</t>
  </si>
  <si>
    <t>12ft picture wire</t>
  </si>
  <si>
    <t>&lt;&lt; maximum height</t>
  </si>
  <si>
    <t>cross section</t>
  </si>
  <si>
    <t>reference</t>
  </si>
  <si>
    <t>height</t>
  </si>
  <si>
    <r>
      <t>99.0</t>
    </r>
    <r>
      <rPr>
        <vertAlign val="superscript"/>
        <sz val="11"/>
        <color indexed="8"/>
        <rFont val="Calibri"/>
        <family val="2"/>
      </rPr>
      <t>L</t>
    </r>
  </si>
  <si>
    <r>
      <t>319.5</t>
    </r>
    <r>
      <rPr>
        <vertAlign val="superscript"/>
        <sz val="11"/>
        <color indexed="8"/>
        <rFont val="Calibri"/>
        <family val="2"/>
      </rPr>
      <t>C</t>
    </r>
  </si>
  <si>
    <r>
      <t>238.5</t>
    </r>
    <r>
      <rPr>
        <vertAlign val="superscript"/>
        <sz val="11"/>
        <color indexed="8"/>
        <rFont val="Calibri"/>
        <family val="2"/>
      </rPr>
      <t>L</t>
    </r>
  </si>
  <si>
    <r>
      <t>157.5</t>
    </r>
    <r>
      <rPr>
        <vertAlign val="superscript"/>
        <sz val="11"/>
        <color indexed="8"/>
        <rFont val="Calibri"/>
        <family val="2"/>
      </rPr>
      <t>L</t>
    </r>
  </si>
  <si>
    <r>
      <t>409.5</t>
    </r>
    <r>
      <rPr>
        <vertAlign val="superscript"/>
        <sz val="11"/>
        <color indexed="8"/>
        <rFont val="Calibri"/>
        <family val="2"/>
      </rPr>
      <t>R</t>
    </r>
  </si>
  <si>
    <r>
      <t>477.0</t>
    </r>
    <r>
      <rPr>
        <vertAlign val="superscript"/>
        <sz val="11"/>
        <color indexed="8"/>
        <rFont val="Calibri"/>
        <family val="2"/>
      </rPr>
      <t>R</t>
    </r>
  </si>
  <si>
    <r>
      <t>544.5</t>
    </r>
    <r>
      <rPr>
        <vertAlign val="superscript"/>
        <sz val="11"/>
        <color indexed="8"/>
        <rFont val="Calibri"/>
        <family val="2"/>
      </rPr>
      <t>R</t>
    </r>
  </si>
  <si>
    <t>L,C,R</t>
  </si>
  <si>
    <r>
      <t>171.0</t>
    </r>
    <r>
      <rPr>
        <vertAlign val="superscript"/>
        <sz val="11"/>
        <color indexed="8"/>
        <rFont val="Calibri"/>
        <family val="2"/>
      </rPr>
      <t>1</t>
    </r>
  </si>
  <si>
    <r>
      <t>85.5</t>
    </r>
    <r>
      <rPr>
        <i/>
        <vertAlign val="superscript"/>
        <sz val="11"/>
        <color indexed="8"/>
        <rFont val="Calibri"/>
        <family val="2"/>
      </rPr>
      <t>2</t>
    </r>
  </si>
  <si>
    <r>
      <t>bottom</t>
    </r>
    <r>
      <rPr>
        <vertAlign val="superscript"/>
        <sz val="11"/>
        <color indexed="8"/>
        <rFont val="Calibri"/>
        <family val="2"/>
      </rPr>
      <t>3</t>
    </r>
  </si>
  <si>
    <t>Measured from top of joint block along the front angle.</t>
  </si>
  <si>
    <t xml:space="preserve">Measure from top of short branch. </t>
  </si>
  <si>
    <t>brass rod 36" x 1/8"</t>
  </si>
  <si>
    <t>brake system</t>
  </si>
  <si>
    <t>1/4"-20 lock nuts (26)</t>
  </si>
  <si>
    <t>1/4"-20 lock nuts (4)</t>
  </si>
  <si>
    <t>(1) Aluminum angle bar 1/8x3/4x36"</t>
  </si>
  <si>
    <t>(3) 1/4"-20 24" threaded rods</t>
  </si>
  <si>
    <t>brass rod 12" x 1/8"</t>
  </si>
  <si>
    <t>(removable) cap construction</t>
  </si>
  <si>
    <t>&lt;&lt; width at max height</t>
  </si>
  <si>
    <t>CAP RAFTER PROFILES</t>
  </si>
  <si>
    <t>Rafter profile width at cross section</t>
  </si>
  <si>
    <t>actual measurement at our rafter ring</t>
  </si>
  <si>
    <t>brass shims, set of 6 thicknesses (Lee Valley)</t>
  </si>
  <si>
    <t>Hardware Mesh Cloth 1/4"x24"x5ft</t>
  </si>
  <si>
    <t>(measurements in millimeters)</t>
  </si>
  <si>
    <t>&lt;&lt; rafter reference</t>
  </si>
  <si>
    <t>&lt;&lt; rafter location</t>
  </si>
  <si>
    <t>Rafter profile bottom rests on rafter rings. Add 10 mm extra below the bottom for fitting inside the rafter rings.</t>
  </si>
  <si>
    <t>Rafter profile to be located to the left, centre or right of the rafter location mark on the rafter rings.</t>
  </si>
  <si>
    <t>Delta 11-990C chuck RJ33-13L</t>
  </si>
  <si>
    <t>#</t>
  </si>
  <si>
    <t>sail</t>
  </si>
  <si>
    <t>windboard</t>
  </si>
  <si>
    <t>1.5mm 3ply Finnish-Birch plywood 25'"x 25" (2)</t>
  </si>
  <si>
    <t>1.5mm 3ply Finnish-Birch plywood 25'"x 25" (1)</t>
  </si>
  <si>
    <t>documentation</t>
  </si>
  <si>
    <t>to buy</t>
  </si>
  <si>
    <t>outside covering</t>
  </si>
  <si>
    <t>doors, windows, thatch boxes, etc.</t>
  </si>
  <si>
    <t>1/4" Baltic Birch plywood 5 x 5 ft</t>
  </si>
  <si>
    <t>(4) 2" x  6" red cedar 8 ft</t>
  </si>
  <si>
    <t>(1) 3/4" dowel 4 ft</t>
  </si>
  <si>
    <t>(2) 3/8" dowel 4 ft</t>
  </si>
  <si>
    <t>flat glass 2 mm, 46 x 25 cm</t>
  </si>
  <si>
    <t>Marine silicone clear</t>
  </si>
  <si>
    <t>trundle field, water runs exit gutter)</t>
  </si>
  <si>
    <t>(1) 3/16" brass rod 3 ft</t>
  </si>
  <si>
    <t>(1) 3/8" dowel 4 ft</t>
  </si>
  <si>
    <t>fibreglass cap, painting</t>
  </si>
  <si>
    <t>to-do</t>
  </si>
  <si>
    <t>carve lettering</t>
  </si>
  <si>
    <t>(2) Bondo 8 sqft fibreglass mat</t>
  </si>
  <si>
    <t>(2) Bondo resin fibreglass 857 ml</t>
  </si>
  <si>
    <t>Primer 925 ml</t>
  </si>
  <si>
    <t>SharkSkin tuape 3.37 ltr</t>
  </si>
  <si>
    <t>SharkSkin winter white 3.37 ltr</t>
  </si>
  <si>
    <t>Overcoat yellow 858 ml</t>
  </si>
  <si>
    <t>Overcoat green 858 ml</t>
  </si>
  <si>
    <t>Overcoat brown 858 ml</t>
  </si>
  <si>
    <t>write story</t>
  </si>
  <si>
    <t>add pictures</t>
  </si>
  <si>
    <t>benches, persons, flags</t>
  </si>
  <si>
    <t>7ft Jacklink chain</t>
  </si>
  <si>
    <t>Fabric, rope, eyelets</t>
  </si>
  <si>
    <r>
      <t xml:space="preserve">thatch boxes, </t>
    </r>
    <r>
      <rPr>
        <sz val="11"/>
        <color indexed="8"/>
        <rFont val="Calibri"/>
        <family val="2"/>
      </rPr>
      <t>flag pole</t>
    </r>
    <r>
      <rPr>
        <sz val="11"/>
        <color theme="1"/>
        <rFont val="Calibri"/>
        <family val="2"/>
      </rPr>
      <t>, beards, storm shield, decorations</t>
    </r>
  </si>
  <si>
    <t>screw eyes</t>
  </si>
  <si>
    <t>(4) 8ft posts 6" x 6"</t>
  </si>
  <si>
    <t>(10) bags concrete</t>
  </si>
  <si>
    <t>placement outside</t>
  </si>
  <si>
    <t>digging 4 post &amp; concrete, placement</t>
  </si>
  <si>
    <t>(approximately)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</si>
</sst>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#,##0.0"/>
    <numFmt numFmtId="166" formatCode="0.0"/>
    <numFmt numFmtId="167" formatCode="[$-1009]dd\-mmmm\-yyyy"/>
    <numFmt numFmtId="168" formatCode="dd\-mmm\-yyyy"/>
    <numFmt numFmtId="169" formatCode="mmm\-yyyy"/>
    <numFmt numFmtId="170" formatCode="#\ ?/4"/>
    <numFmt numFmtId="171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3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u val="single"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1"/>
      <color theme="4" tint="0.7999799847602844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8" fillId="0" borderId="0" xfId="0" applyFont="1" applyBorder="1" applyAlignment="1">
      <alignment horizontal="righ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8" fillId="0" borderId="0" xfId="0" applyFont="1" applyBorder="1" applyAlignment="1" quotePrefix="1">
      <alignment horizontal="right" wrapText="1"/>
    </xf>
    <xf numFmtId="0" fontId="0" fillId="0" borderId="0" xfId="0" applyBorder="1" applyAlignment="1" quotePrefix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righ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9" fillId="0" borderId="0" xfId="0" applyFont="1" applyAlignment="1">
      <alignment/>
    </xf>
    <xf numFmtId="168" fontId="0" fillId="0" borderId="0" xfId="0" applyNumberFormat="1" applyAlignment="1">
      <alignment/>
    </xf>
    <xf numFmtId="0" fontId="4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50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170" fontId="46" fillId="0" borderId="0" xfId="0" applyNumberFormat="1" applyFont="1" applyBorder="1" applyAlignment="1">
      <alignment/>
    </xf>
    <xf numFmtId="170" fontId="46" fillId="0" borderId="11" xfId="0" applyNumberFormat="1" applyFont="1" applyBorder="1" applyAlignment="1">
      <alignment/>
    </xf>
    <xf numFmtId="168" fontId="46" fillId="0" borderId="0" xfId="0" applyNumberFormat="1" applyFont="1" applyAlignment="1">
      <alignment/>
    </xf>
    <xf numFmtId="170" fontId="5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46" fillId="0" borderId="0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168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51" fillId="6" borderId="0" xfId="0" applyFont="1" applyFill="1" applyBorder="1" applyAlignment="1" quotePrefix="1">
      <alignment horizontal="right" wrapText="1"/>
    </xf>
    <xf numFmtId="164" fontId="52" fillId="6" borderId="0" xfId="0" applyNumberFormat="1" applyFont="1" applyFill="1" applyBorder="1" applyAlignment="1">
      <alignment/>
    </xf>
    <xf numFmtId="3" fontId="52" fillId="6" borderId="0" xfId="0" applyNumberFormat="1" applyFont="1" applyFill="1" applyBorder="1" applyAlignment="1">
      <alignment/>
    </xf>
    <xf numFmtId="0" fontId="52" fillId="6" borderId="10" xfId="0" applyFont="1" applyFill="1" applyBorder="1" applyAlignment="1" quotePrefix="1">
      <alignment horizontal="right"/>
    </xf>
    <xf numFmtId="0" fontId="52" fillId="6" borderId="0" xfId="0" applyFont="1" applyFill="1" applyAlignment="1">
      <alignment/>
    </xf>
    <xf numFmtId="166" fontId="52" fillId="6" borderId="0" xfId="0" applyNumberFormat="1" applyFont="1" applyFill="1" applyAlignment="1">
      <alignment/>
    </xf>
    <xf numFmtId="166" fontId="52" fillId="6" borderId="10" xfId="0" applyNumberFormat="1" applyFont="1" applyFill="1" applyBorder="1" applyAlignment="1">
      <alignment/>
    </xf>
    <xf numFmtId="165" fontId="52" fillId="6" borderId="0" xfId="0" applyNumberFormat="1" applyFont="1" applyFill="1" applyBorder="1" applyAlignment="1">
      <alignment/>
    </xf>
    <xf numFmtId="0" fontId="52" fillId="6" borderId="0" xfId="0" applyFont="1" applyFill="1" applyBorder="1" applyAlignment="1" quotePrefix="1">
      <alignment horizontal="right"/>
    </xf>
    <xf numFmtId="0" fontId="46" fillId="6" borderId="0" xfId="0" applyFont="1" applyFill="1" applyAlignment="1">
      <alignment/>
    </xf>
    <xf numFmtId="166" fontId="46" fillId="6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166" fontId="52" fillId="6" borderId="0" xfId="0" applyNumberFormat="1" applyFont="1" applyFill="1" applyAlignment="1" quotePrefix="1">
      <alignment horizontal="right"/>
    </xf>
    <xf numFmtId="0" fontId="54" fillId="0" borderId="0" xfId="0" applyFont="1" applyAlignment="1">
      <alignment horizontal="right"/>
    </xf>
    <xf numFmtId="4" fontId="50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Alignment="1" quotePrefix="1">
      <alignment horizontal="left"/>
    </xf>
    <xf numFmtId="0" fontId="54" fillId="0" borderId="0" xfId="0" applyFont="1" applyAlignment="1">
      <alignment horizontal="right" wrapText="1"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54" fillId="0" borderId="12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166" fontId="46" fillId="0" borderId="0" xfId="0" applyNumberFormat="1" applyFont="1" applyBorder="1" applyAlignment="1">
      <alignment/>
    </xf>
    <xf numFmtId="166" fontId="0" fillId="0" borderId="14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6" fontId="0" fillId="0" borderId="0" xfId="0" applyNumberFormat="1" applyAlignment="1" quotePrefix="1">
      <alignment horizontal="right"/>
    </xf>
    <xf numFmtId="166" fontId="55" fillId="0" borderId="0" xfId="0" applyNumberFormat="1" applyFont="1" applyAlignment="1" quotePrefix="1">
      <alignment horizontal="right"/>
    </xf>
    <xf numFmtId="0" fontId="56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47" fillId="0" borderId="0" xfId="0" applyNumberFormat="1" applyFont="1" applyBorder="1" applyAlignment="1">
      <alignment vertical="top"/>
    </xf>
    <xf numFmtId="166" fontId="46" fillId="0" borderId="14" xfId="0" applyNumberFormat="1" applyFont="1" applyBorder="1" applyAlignment="1">
      <alignment/>
    </xf>
    <xf numFmtId="166" fontId="46" fillId="0" borderId="15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0" fontId="0" fillId="0" borderId="0" xfId="0" applyAlignment="1">
      <alignment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18.8515625" style="0" bestFit="1" customWidth="1"/>
    <col min="2" max="2" width="38.57421875" style="0" bestFit="1" customWidth="1"/>
    <col min="3" max="3" width="9.140625" style="0" bestFit="1" customWidth="1"/>
    <col min="4" max="4" width="10.140625" style="0" bestFit="1" customWidth="1"/>
  </cols>
  <sheetData>
    <row r="1" spans="1:4" ht="18.75">
      <c r="A1" s="23" t="s">
        <v>36</v>
      </c>
      <c r="B1" s="1" t="s">
        <v>42</v>
      </c>
      <c r="C1" s="23" t="s">
        <v>43</v>
      </c>
      <c r="D1" s="23" t="s">
        <v>48</v>
      </c>
    </row>
    <row r="2" spans="1:4" ht="15">
      <c r="A2" s="29" t="s">
        <v>47</v>
      </c>
      <c r="B2" t="s">
        <v>46</v>
      </c>
      <c r="C2" s="6">
        <v>1010</v>
      </c>
      <c r="D2" s="27">
        <f aca="true" t="shared" si="0" ref="D2:D7">C2/60</f>
        <v>16.833333333333332</v>
      </c>
    </row>
    <row r="3" spans="1:4" ht="15">
      <c r="A3" s="22"/>
      <c r="B3" t="s">
        <v>55</v>
      </c>
      <c r="C3" s="6">
        <v>460</v>
      </c>
      <c r="D3" s="27">
        <f t="shared" si="0"/>
        <v>7.666666666666667</v>
      </c>
    </row>
    <row r="4" spans="1:4" ht="15">
      <c r="A4" s="22"/>
      <c r="B4" t="s">
        <v>50</v>
      </c>
      <c r="C4" s="6">
        <v>465</v>
      </c>
      <c r="D4" s="27">
        <f t="shared" si="0"/>
        <v>7.75</v>
      </c>
    </row>
    <row r="5" spans="1:6" ht="15">
      <c r="A5" s="22"/>
      <c r="B5" t="s">
        <v>186</v>
      </c>
      <c r="C5" s="6">
        <v>2020</v>
      </c>
      <c r="D5" s="27">
        <f t="shared" si="0"/>
        <v>33.666666666666664</v>
      </c>
      <c r="F5" s="6"/>
    </row>
    <row r="6" spans="1:6" ht="15">
      <c r="A6" s="22"/>
      <c r="B6" t="s">
        <v>179</v>
      </c>
      <c r="C6" s="6">
        <v>3125</v>
      </c>
      <c r="D6" s="27">
        <f t="shared" si="0"/>
        <v>52.083333333333336</v>
      </c>
      <c r="F6" s="6"/>
    </row>
    <row r="7" spans="1:6" ht="15">
      <c r="A7" s="22"/>
      <c r="B7" s="52" t="s">
        <v>178</v>
      </c>
      <c r="C7" s="6">
        <v>3400</v>
      </c>
      <c r="D7" s="27">
        <f t="shared" si="0"/>
        <v>56.666666666666664</v>
      </c>
      <c r="F7" s="6"/>
    </row>
    <row r="8" spans="3:4" ht="15">
      <c r="C8" s="6"/>
      <c r="D8" s="27"/>
    </row>
    <row r="9" spans="2:4" ht="15">
      <c r="B9" s="26" t="s">
        <v>45</v>
      </c>
      <c r="C9" s="31">
        <f>SUM(C2:C8)</f>
        <v>10480</v>
      </c>
      <c r="D9" s="28">
        <f>C9/60</f>
        <v>174.66666666666666</v>
      </c>
    </row>
    <row r="10" ht="15">
      <c r="C10" s="32"/>
    </row>
    <row r="11" spans="1:4" ht="15">
      <c r="A11" s="29" t="s">
        <v>49</v>
      </c>
      <c r="B11" t="s">
        <v>50</v>
      </c>
      <c r="C11" s="6">
        <v>165</v>
      </c>
      <c r="D11" s="27">
        <f>C11/60</f>
        <v>2.75</v>
      </c>
    </row>
    <row r="12" spans="1:4" ht="15">
      <c r="A12" s="29"/>
      <c r="B12" t="s">
        <v>61</v>
      </c>
      <c r="C12" s="6">
        <v>2710</v>
      </c>
      <c r="D12" s="27">
        <f>C12/60</f>
        <v>45.166666666666664</v>
      </c>
    </row>
    <row r="13" spans="1:6" ht="15">
      <c r="A13" s="29"/>
      <c r="B13" t="s">
        <v>158</v>
      </c>
      <c r="C13" s="6">
        <v>3175</v>
      </c>
      <c r="D13" s="27">
        <f>C13/60</f>
        <v>52.916666666666664</v>
      </c>
      <c r="F13" s="6"/>
    </row>
    <row r="14" spans="1:6" ht="30">
      <c r="A14" s="29"/>
      <c r="B14" s="90" t="s">
        <v>205</v>
      </c>
      <c r="C14" s="6">
        <v>1425</v>
      </c>
      <c r="D14" s="27">
        <f>C14/60</f>
        <v>23.75</v>
      </c>
      <c r="F14" s="6"/>
    </row>
    <row r="15" spans="1:4" ht="15">
      <c r="A15" s="22"/>
      <c r="C15" s="6"/>
      <c r="D15" s="27"/>
    </row>
    <row r="16" spans="2:4" ht="15">
      <c r="B16" s="26" t="s">
        <v>45</v>
      </c>
      <c r="C16" s="31">
        <f>SUM(C11:C15)</f>
        <v>7475</v>
      </c>
      <c r="D16" s="28">
        <f>C16/60</f>
        <v>124.58333333333333</v>
      </c>
    </row>
    <row r="17" spans="2:4" ht="15">
      <c r="B17" s="26"/>
      <c r="C17" s="4"/>
      <c r="D17" s="27"/>
    </row>
    <row r="18" spans="1:4" ht="15">
      <c r="A18" s="29" t="s">
        <v>51</v>
      </c>
      <c r="B18" t="s">
        <v>84</v>
      </c>
      <c r="C18" s="6">
        <v>2095</v>
      </c>
      <c r="D18" s="27">
        <f>C18/60</f>
        <v>34.916666666666664</v>
      </c>
    </row>
    <row r="19" spans="1:4" ht="15">
      <c r="A19" s="29"/>
      <c r="B19" t="s">
        <v>85</v>
      </c>
      <c r="C19" s="6">
        <v>1090</v>
      </c>
      <c r="D19" s="27">
        <f>C19/60</f>
        <v>18.166666666666668</v>
      </c>
    </row>
    <row r="20" spans="1:4" ht="15">
      <c r="A20" s="29"/>
      <c r="B20" t="s">
        <v>98</v>
      </c>
      <c r="C20" s="6">
        <v>1665</v>
      </c>
      <c r="D20" s="27">
        <f>C20/60</f>
        <v>27.75</v>
      </c>
    </row>
    <row r="21" spans="1:4" ht="15">
      <c r="A21" s="29"/>
      <c r="B21" t="s">
        <v>152</v>
      </c>
      <c r="C21" s="6">
        <v>600</v>
      </c>
      <c r="D21" s="27">
        <f>C21/60</f>
        <v>10</v>
      </c>
    </row>
    <row r="22" spans="1:4" ht="15">
      <c r="A22" s="22"/>
      <c r="C22" s="6"/>
      <c r="D22" s="27"/>
    </row>
    <row r="23" spans="2:4" ht="15">
      <c r="B23" s="26" t="s">
        <v>45</v>
      </c>
      <c r="C23" s="31">
        <f>SUM(C18:C22)</f>
        <v>5450</v>
      </c>
      <c r="D23" s="28">
        <f>C23/60</f>
        <v>90.83333333333333</v>
      </c>
    </row>
    <row r="24" spans="2:4" ht="15">
      <c r="B24" s="26"/>
      <c r="C24" s="4"/>
      <c r="D24" s="27"/>
    </row>
    <row r="25" spans="1:4" ht="15">
      <c r="A25" s="29" t="s">
        <v>52</v>
      </c>
      <c r="B25" t="s">
        <v>87</v>
      </c>
      <c r="C25">
        <v>520</v>
      </c>
      <c r="D25" s="27">
        <f>C25/60</f>
        <v>8.666666666666666</v>
      </c>
    </row>
    <row r="26" spans="1:6" ht="15">
      <c r="A26" s="29"/>
      <c r="B26" t="s">
        <v>52</v>
      </c>
      <c r="C26" s="6">
        <v>3915</v>
      </c>
      <c r="D26" s="27">
        <f>C26/60</f>
        <v>65.25</v>
      </c>
      <c r="E26" s="6"/>
      <c r="F26" s="6"/>
    </row>
    <row r="27" spans="1:4" ht="15">
      <c r="A27" s="22"/>
      <c r="C27" s="6"/>
      <c r="D27" s="27"/>
    </row>
    <row r="28" spans="2:4" ht="15">
      <c r="B28" s="26" t="s">
        <v>45</v>
      </c>
      <c r="C28" s="31">
        <f>SUM(C25:C27)</f>
        <v>4435</v>
      </c>
      <c r="D28" s="28">
        <f>C28/60</f>
        <v>73.91666666666667</v>
      </c>
    </row>
    <row r="29" spans="2:4" ht="15">
      <c r="B29" s="26"/>
      <c r="C29" s="4"/>
      <c r="D29" s="27"/>
    </row>
    <row r="30" spans="1:6" ht="15">
      <c r="A30" s="29" t="s">
        <v>53</v>
      </c>
      <c r="B30" s="55" t="s">
        <v>189</v>
      </c>
      <c r="C30" s="6">
        <v>5130</v>
      </c>
      <c r="D30" s="27">
        <f>C30/60</f>
        <v>85.5</v>
      </c>
      <c r="E30" s="6"/>
      <c r="F30" s="6"/>
    </row>
    <row r="31" spans="1:4" ht="15">
      <c r="A31" s="22"/>
      <c r="C31" s="6"/>
      <c r="D31" s="27"/>
    </row>
    <row r="32" spans="2:4" ht="15">
      <c r="B32" s="26" t="s">
        <v>45</v>
      </c>
      <c r="C32" s="31">
        <f>SUM(C30:C31)</f>
        <v>5130</v>
      </c>
      <c r="D32" s="28">
        <f>C32/60</f>
        <v>85.5</v>
      </c>
    </row>
    <row r="33" spans="2:4" ht="15">
      <c r="B33" s="26"/>
      <c r="C33" s="4"/>
      <c r="D33" s="27"/>
    </row>
    <row r="34" spans="1:4" ht="15">
      <c r="A34" s="94" t="s">
        <v>209</v>
      </c>
      <c r="B34" s="95" t="s">
        <v>210</v>
      </c>
      <c r="C34" s="4">
        <v>1200</v>
      </c>
      <c r="D34" s="27">
        <f>C34/60</f>
        <v>20</v>
      </c>
    </row>
    <row r="35" spans="2:4" ht="15">
      <c r="B35" s="96" t="s">
        <v>211</v>
      </c>
      <c r="C35" s="31">
        <f>SUM(C34)</f>
        <v>1200</v>
      </c>
      <c r="D35" s="28">
        <f>SUM(D34)</f>
        <v>20</v>
      </c>
    </row>
    <row r="36" ht="15">
      <c r="C36" s="6"/>
    </row>
    <row r="37" spans="2:4" ht="18.75">
      <c r="B37" s="25" t="s">
        <v>54</v>
      </c>
      <c r="C37" s="33">
        <f>C9+C16+C23+C28+C32+C35</f>
        <v>34170</v>
      </c>
      <c r="D37" s="30">
        <f>D9+D16+D23+D28+D32+D35</f>
        <v>569.5</v>
      </c>
    </row>
    <row r="40" spans="1:3" ht="15.75">
      <c r="A40" s="48"/>
      <c r="B40" s="55"/>
      <c r="C40" s="52"/>
    </row>
    <row r="41" ht="15">
      <c r="B41" s="55"/>
    </row>
    <row r="42" spans="1:2" ht="15.75">
      <c r="A42" s="48"/>
      <c r="B42" s="55"/>
    </row>
    <row r="43" spans="1:2" ht="15.75">
      <c r="A43" s="48"/>
      <c r="B43" s="55"/>
    </row>
    <row r="44" spans="1:2" ht="15.75">
      <c r="A44" s="48"/>
      <c r="B44" s="55"/>
    </row>
    <row r="45" ht="15">
      <c r="B45" s="52"/>
    </row>
    <row r="46" ht="15">
      <c r="B46" s="52"/>
    </row>
    <row r="47" ht="15">
      <c r="B47" s="52"/>
    </row>
    <row r="48" ht="15">
      <c r="B48" s="52"/>
    </row>
    <row r="51" spans="1:4" ht="15.75">
      <c r="A51" s="48"/>
      <c r="D51" s="52"/>
    </row>
    <row r="52" ht="15">
      <c r="B52" s="52"/>
    </row>
    <row r="53" ht="15">
      <c r="B53" s="52"/>
    </row>
    <row r="54" ht="15">
      <c r="D54" s="16"/>
    </row>
    <row r="55" ht="15">
      <c r="D55" s="16"/>
    </row>
    <row r="56" ht="15">
      <c r="D56" s="16"/>
    </row>
    <row r="57" spans="3:4" ht="15">
      <c r="C57" s="16"/>
      <c r="D57" s="16"/>
    </row>
    <row r="58" spans="3:5" ht="15">
      <c r="C58" s="16"/>
      <c r="D58" s="53"/>
      <c r="E58" s="52"/>
    </row>
    <row r="59" ht="15">
      <c r="C59" s="16"/>
    </row>
    <row r="60" spans="3:8" ht="15">
      <c r="C60" s="16"/>
      <c r="D60" s="54"/>
      <c r="E60" s="54"/>
      <c r="F60" s="54"/>
      <c r="G60" s="54"/>
      <c r="H60" s="54"/>
    </row>
    <row r="61" spans="2:3" ht="15">
      <c r="B61" s="52"/>
      <c r="C61" s="53"/>
    </row>
  </sheetData>
  <sheetProtection/>
  <printOptions/>
  <pageMargins left="0.7" right="0.7" top="0.75" bottom="0.75" header="0.3" footer="0.3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7" sqref="A7:IV9"/>
    </sheetView>
  </sheetViews>
  <sheetFormatPr defaultColWidth="9.140625" defaultRowHeight="15"/>
  <cols>
    <col min="1" max="1" width="14.7109375" style="0" bestFit="1" customWidth="1"/>
    <col min="2" max="2" width="26.8515625" style="0" bestFit="1" customWidth="1"/>
    <col min="3" max="3" width="7.421875" style="0" bestFit="1" customWidth="1"/>
    <col min="4" max="4" width="30.57421875" style="0" bestFit="1" customWidth="1"/>
  </cols>
  <sheetData>
    <row r="1" spans="1:2" ht="15">
      <c r="A1" s="52" t="s">
        <v>176</v>
      </c>
      <c r="B1" t="s">
        <v>201</v>
      </c>
    </row>
    <row r="2" ht="15">
      <c r="B2" t="s">
        <v>200</v>
      </c>
    </row>
    <row r="4" spans="1:2" ht="15">
      <c r="A4" s="52" t="s">
        <v>190</v>
      </c>
      <c r="B4" t="s">
        <v>202</v>
      </c>
    </row>
    <row r="5" ht="15">
      <c r="B5" t="s">
        <v>191</v>
      </c>
    </row>
    <row r="7" spans="1:2" ht="15.75">
      <c r="A7" s="48" t="s">
        <v>177</v>
      </c>
      <c r="B7" t="s">
        <v>170</v>
      </c>
    </row>
    <row r="14" spans="1:2" ht="15">
      <c r="A14" s="52"/>
      <c r="B14" s="55"/>
    </row>
    <row r="24" ht="15">
      <c r="B24" s="55"/>
    </row>
    <row r="25" ht="15">
      <c r="B25" s="55"/>
    </row>
    <row r="26" ht="15">
      <c r="B26" s="55"/>
    </row>
    <row r="27" ht="15">
      <c r="B27" s="55"/>
    </row>
    <row r="28" ht="15">
      <c r="B28" s="52"/>
    </row>
    <row r="31" ht="15">
      <c r="B31" s="52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PageLayoutView="0" workbookViewId="0" topLeftCell="A41">
      <selection activeCell="C69" sqref="C69"/>
    </sheetView>
  </sheetViews>
  <sheetFormatPr defaultColWidth="9.140625" defaultRowHeight="15"/>
  <cols>
    <col min="1" max="1" width="12.00390625" style="0" bestFit="1" customWidth="1"/>
    <col min="2" max="2" width="51.8515625" style="0" customWidth="1"/>
    <col min="3" max="3" width="11.28125" style="0" bestFit="1" customWidth="1"/>
  </cols>
  <sheetData>
    <row r="1" spans="1:3" ht="18.75">
      <c r="A1" s="23" t="s">
        <v>36</v>
      </c>
      <c r="B1" s="1" t="s">
        <v>37</v>
      </c>
      <c r="C1" s="23" t="s">
        <v>38</v>
      </c>
    </row>
    <row r="2" spans="1:3" ht="15">
      <c r="A2" s="22">
        <v>41666</v>
      </c>
      <c r="B2" t="s">
        <v>56</v>
      </c>
      <c r="C2" s="24">
        <v>12.5</v>
      </c>
    </row>
    <row r="3" spans="1:3" ht="15">
      <c r="A3" s="22">
        <v>41666</v>
      </c>
      <c r="B3" t="s">
        <v>39</v>
      </c>
      <c r="C3" s="24">
        <v>1.89</v>
      </c>
    </row>
    <row r="4" spans="1:3" ht="15">
      <c r="A4" s="22">
        <v>41666</v>
      </c>
      <c r="B4" t="s">
        <v>40</v>
      </c>
      <c r="C4" s="24">
        <v>254.6</v>
      </c>
    </row>
    <row r="5" spans="1:5" ht="15">
      <c r="A5" s="22">
        <v>41666</v>
      </c>
      <c r="B5" t="s">
        <v>41</v>
      </c>
      <c r="C5" s="24">
        <v>65.09</v>
      </c>
      <c r="E5" s="24"/>
    </row>
    <row r="6" spans="1:3" ht="15">
      <c r="A6" s="22">
        <v>41698</v>
      </c>
      <c r="B6" t="s">
        <v>57</v>
      </c>
      <c r="C6" s="24">
        <v>8.05</v>
      </c>
    </row>
    <row r="7" spans="1:3" ht="15">
      <c r="A7" s="34">
        <v>42066</v>
      </c>
      <c r="B7" t="s">
        <v>79</v>
      </c>
      <c r="C7" s="24">
        <v>9.82</v>
      </c>
    </row>
    <row r="8" spans="1:3" s="35" customFormat="1" ht="15">
      <c r="A8" s="34">
        <v>41704</v>
      </c>
      <c r="B8" s="35" t="s">
        <v>58</v>
      </c>
      <c r="C8" s="24">
        <v>18.85</v>
      </c>
    </row>
    <row r="9" spans="1:3" s="35" customFormat="1" ht="15">
      <c r="A9" s="34">
        <v>41704</v>
      </c>
      <c r="B9" s="35" t="s">
        <v>60</v>
      </c>
      <c r="C9" s="24">
        <v>109.12</v>
      </c>
    </row>
    <row r="10" spans="1:3" s="35" customFormat="1" ht="15">
      <c r="A10" s="34">
        <v>41704</v>
      </c>
      <c r="B10" s="35" t="s">
        <v>59</v>
      </c>
      <c r="C10" s="24">
        <v>81.84</v>
      </c>
    </row>
    <row r="11" spans="1:3" s="35" customFormat="1" ht="15">
      <c r="A11" s="34"/>
      <c r="B11" s="35" t="s">
        <v>62</v>
      </c>
      <c r="C11" s="24">
        <v>43</v>
      </c>
    </row>
    <row r="12" spans="1:3" ht="15">
      <c r="A12" s="34">
        <v>41741</v>
      </c>
      <c r="B12" s="35" t="s">
        <v>63</v>
      </c>
      <c r="C12" s="24">
        <v>2.49</v>
      </c>
    </row>
    <row r="13" spans="1:3" ht="15">
      <c r="A13" s="34">
        <v>41961</v>
      </c>
      <c r="B13" s="35" t="s">
        <v>72</v>
      </c>
      <c r="C13" s="24">
        <v>44.89</v>
      </c>
    </row>
    <row r="14" spans="1:3" ht="15">
      <c r="A14" s="34">
        <v>42045</v>
      </c>
      <c r="B14" s="35" t="s">
        <v>80</v>
      </c>
      <c r="C14" s="24">
        <v>9.58</v>
      </c>
    </row>
    <row r="15" spans="1:3" ht="15">
      <c r="A15" s="34">
        <v>42045</v>
      </c>
      <c r="B15" s="35" t="s">
        <v>74</v>
      </c>
      <c r="C15" s="24">
        <v>25.8</v>
      </c>
    </row>
    <row r="16" spans="1:3" ht="15">
      <c r="A16" s="34">
        <v>42054</v>
      </c>
      <c r="B16" s="35" t="s">
        <v>77</v>
      </c>
      <c r="C16" s="24">
        <v>380.19</v>
      </c>
    </row>
    <row r="17" spans="1:3" ht="15">
      <c r="A17" s="34">
        <v>42075</v>
      </c>
      <c r="B17" t="s">
        <v>86</v>
      </c>
      <c r="C17" s="24">
        <v>2.51</v>
      </c>
    </row>
    <row r="18" spans="1:3" ht="15">
      <c r="A18" s="34">
        <v>42075</v>
      </c>
      <c r="B18" t="s">
        <v>90</v>
      </c>
      <c r="C18" s="24">
        <v>1.01</v>
      </c>
    </row>
    <row r="19" spans="1:3" ht="15">
      <c r="A19" s="34">
        <v>42082</v>
      </c>
      <c r="B19" t="s">
        <v>89</v>
      </c>
      <c r="C19" s="24">
        <v>170.1</v>
      </c>
    </row>
    <row r="20" spans="1:3" ht="15">
      <c r="A20" s="34">
        <v>42082</v>
      </c>
      <c r="B20" t="s">
        <v>92</v>
      </c>
      <c r="C20" s="24">
        <v>31</v>
      </c>
    </row>
    <row r="21" spans="1:3" ht="15">
      <c r="A21" s="34">
        <v>42088</v>
      </c>
      <c r="B21" t="s">
        <v>91</v>
      </c>
      <c r="C21" s="24">
        <v>8.86</v>
      </c>
    </row>
    <row r="22" spans="1:3" ht="15">
      <c r="A22" s="34">
        <v>42108</v>
      </c>
      <c r="B22" t="s">
        <v>99</v>
      </c>
      <c r="C22">
        <v>69.28</v>
      </c>
    </row>
    <row r="23" spans="1:3" ht="15">
      <c r="A23" s="34">
        <v>42115</v>
      </c>
      <c r="B23" t="s">
        <v>122</v>
      </c>
      <c r="C23" s="24">
        <v>5.25</v>
      </c>
    </row>
    <row r="24" spans="1:3" ht="15">
      <c r="A24" s="34">
        <v>42121</v>
      </c>
      <c r="B24" t="s">
        <v>133</v>
      </c>
      <c r="C24" s="24">
        <v>3.03</v>
      </c>
    </row>
    <row r="25" spans="1:3" s="55" customFormat="1" ht="15">
      <c r="A25" s="34">
        <v>42066</v>
      </c>
      <c r="B25" s="55" t="s">
        <v>153</v>
      </c>
      <c r="C25" s="78">
        <v>5.41</v>
      </c>
    </row>
    <row r="26" spans="1:3" s="55" customFormat="1" ht="15">
      <c r="A26" s="34">
        <v>42066</v>
      </c>
      <c r="B26" s="55" t="s">
        <v>155</v>
      </c>
      <c r="C26" s="78">
        <v>12.28</v>
      </c>
    </row>
    <row r="27" spans="1:3" s="55" customFormat="1" ht="15">
      <c r="A27" s="34">
        <v>42067</v>
      </c>
      <c r="B27" s="55" t="s">
        <v>156</v>
      </c>
      <c r="C27" s="78">
        <v>6.15</v>
      </c>
    </row>
    <row r="28" spans="1:3" s="55" customFormat="1" ht="15">
      <c r="A28" s="34">
        <v>42205</v>
      </c>
      <c r="B28" s="55" t="s">
        <v>157</v>
      </c>
      <c r="C28" s="78">
        <v>3.5</v>
      </c>
    </row>
    <row r="29" spans="1:3" s="55" customFormat="1" ht="15">
      <c r="A29" s="34">
        <v>42251</v>
      </c>
      <c r="B29" s="55" t="s">
        <v>163</v>
      </c>
      <c r="C29" s="78">
        <v>10.45</v>
      </c>
    </row>
    <row r="30" spans="1:3" ht="15">
      <c r="A30" s="34">
        <v>42251</v>
      </c>
      <c r="B30" t="s">
        <v>175</v>
      </c>
      <c r="C30" s="24">
        <v>30.98</v>
      </c>
    </row>
    <row r="31" spans="1:3" ht="15">
      <c r="A31" s="34">
        <v>42374</v>
      </c>
      <c r="B31" t="s">
        <v>164</v>
      </c>
      <c r="C31" s="24">
        <v>16.96</v>
      </c>
    </row>
    <row r="32" spans="1:3" ht="15">
      <c r="A32" s="34">
        <v>42444</v>
      </c>
      <c r="B32" t="s">
        <v>184</v>
      </c>
      <c r="C32" s="24">
        <v>9.38</v>
      </c>
    </row>
    <row r="33" spans="1:3" ht="15">
      <c r="A33" s="34">
        <v>42444</v>
      </c>
      <c r="B33" t="s">
        <v>185</v>
      </c>
      <c r="C33" s="24">
        <v>5.65</v>
      </c>
    </row>
    <row r="34" spans="1:3" ht="15">
      <c r="A34" s="34">
        <v>42443</v>
      </c>
      <c r="B34" t="s">
        <v>187</v>
      </c>
      <c r="C34" s="24">
        <v>14</v>
      </c>
    </row>
    <row r="35" spans="1:3" ht="15">
      <c r="A35" s="34">
        <v>42443</v>
      </c>
      <c r="B35" t="s">
        <v>183</v>
      </c>
      <c r="C35" s="24">
        <v>2.33</v>
      </c>
    </row>
    <row r="36" spans="1:3" ht="15">
      <c r="A36" s="34">
        <v>42443</v>
      </c>
      <c r="B36" t="s">
        <v>180</v>
      </c>
      <c r="C36" s="24">
        <v>12.6</v>
      </c>
    </row>
    <row r="37" spans="1:3" ht="15">
      <c r="A37" s="34">
        <v>42443</v>
      </c>
      <c r="B37" s="55" t="s">
        <v>181</v>
      </c>
      <c r="C37" s="24">
        <v>58.25</v>
      </c>
    </row>
    <row r="38" spans="1:3" ht="15">
      <c r="A38" s="34">
        <v>42478</v>
      </c>
      <c r="B38" t="s">
        <v>192</v>
      </c>
      <c r="C38" s="24">
        <v>20.98</v>
      </c>
    </row>
    <row r="39" spans="1:3" ht="15">
      <c r="A39" s="34">
        <v>42478</v>
      </c>
      <c r="B39" t="s">
        <v>193</v>
      </c>
      <c r="C39" s="24">
        <v>25.18</v>
      </c>
    </row>
    <row r="40" spans="1:3" ht="15">
      <c r="A40" s="34">
        <v>42478</v>
      </c>
      <c r="B40" t="s">
        <v>194</v>
      </c>
      <c r="C40" s="24">
        <v>18.24</v>
      </c>
    </row>
    <row r="41" spans="1:3" ht="15">
      <c r="A41" s="34">
        <v>42478</v>
      </c>
      <c r="B41" t="s">
        <v>195</v>
      </c>
      <c r="C41" s="24">
        <v>46.96</v>
      </c>
    </row>
    <row r="42" spans="1:3" ht="15">
      <c r="A42" s="34">
        <v>42478</v>
      </c>
      <c r="B42" t="s">
        <v>196</v>
      </c>
      <c r="C42" s="24">
        <v>46.96</v>
      </c>
    </row>
    <row r="43" spans="1:3" ht="15">
      <c r="A43" s="34">
        <v>42478</v>
      </c>
      <c r="B43" t="s">
        <v>197</v>
      </c>
      <c r="C43" s="24">
        <v>18.05</v>
      </c>
    </row>
    <row r="44" spans="1:3" ht="15">
      <c r="A44" s="34">
        <v>42478</v>
      </c>
      <c r="B44" t="s">
        <v>198</v>
      </c>
      <c r="C44" s="24">
        <v>18.05</v>
      </c>
    </row>
    <row r="45" spans="1:3" ht="15">
      <c r="A45" s="34">
        <v>42478</v>
      </c>
      <c r="B45" t="s">
        <v>199</v>
      </c>
      <c r="C45" s="24">
        <v>18.05</v>
      </c>
    </row>
    <row r="46" spans="1:3" ht="15">
      <c r="A46" s="34">
        <v>42531</v>
      </c>
      <c r="B46" t="s">
        <v>203</v>
      </c>
      <c r="C46" s="24">
        <v>11.91</v>
      </c>
    </row>
    <row r="47" spans="1:3" ht="15">
      <c r="A47" s="34">
        <v>42531</v>
      </c>
      <c r="B47" t="s">
        <v>204</v>
      </c>
      <c r="C47" s="24">
        <v>40.66</v>
      </c>
    </row>
    <row r="48" spans="1:3" ht="15">
      <c r="A48" s="34"/>
      <c r="B48" t="s">
        <v>206</v>
      </c>
      <c r="C48" s="24">
        <v>3</v>
      </c>
    </row>
    <row r="49" spans="1:3" ht="15">
      <c r="A49" s="34">
        <v>42537</v>
      </c>
      <c r="B49" t="s">
        <v>207</v>
      </c>
      <c r="C49" s="24">
        <v>125.92</v>
      </c>
    </row>
    <row r="50" spans="1:3" ht="15">
      <c r="A50" s="34">
        <v>42537</v>
      </c>
      <c r="B50" t="s">
        <v>208</v>
      </c>
      <c r="C50" s="24">
        <v>50.19</v>
      </c>
    </row>
    <row r="51" spans="1:3" ht="15">
      <c r="A51" s="22"/>
      <c r="C51" s="24"/>
    </row>
    <row r="52" spans="1:3" ht="18.75">
      <c r="A52" s="22"/>
      <c r="B52" s="25" t="s">
        <v>71</v>
      </c>
      <c r="C52" s="51">
        <f>SUM(C2:C51)</f>
        <v>1990.8400000000004</v>
      </c>
    </row>
    <row r="53" ht="15">
      <c r="A53" s="22"/>
    </row>
    <row r="55" ht="15">
      <c r="A55" s="50" t="s">
        <v>76</v>
      </c>
    </row>
    <row r="56" spans="1:3" ht="15">
      <c r="A56" s="34">
        <v>42045</v>
      </c>
      <c r="B56" s="35" t="s">
        <v>75</v>
      </c>
      <c r="C56" s="24">
        <v>15.23</v>
      </c>
    </row>
    <row r="57" spans="1:3" ht="15">
      <c r="A57" s="34">
        <v>42045</v>
      </c>
      <c r="B57" s="35" t="s">
        <v>81</v>
      </c>
      <c r="C57" s="24">
        <v>7.98</v>
      </c>
    </row>
    <row r="58" spans="1:3" s="55" customFormat="1" ht="15">
      <c r="A58" s="34">
        <v>42066</v>
      </c>
      <c r="B58" t="s">
        <v>78</v>
      </c>
      <c r="C58" s="24">
        <v>15.68</v>
      </c>
    </row>
    <row r="59" spans="1:3" s="55" customFormat="1" ht="15">
      <c r="A59" s="34">
        <v>42066</v>
      </c>
      <c r="B59" s="55" t="s">
        <v>154</v>
      </c>
      <c r="C59" s="78">
        <v>0.83</v>
      </c>
    </row>
    <row r="60" spans="1:3" s="55" customFormat="1" ht="15">
      <c r="A60" s="34">
        <v>42066</v>
      </c>
      <c r="B60" s="55" t="s">
        <v>82</v>
      </c>
      <c r="C60" s="78">
        <v>24.55</v>
      </c>
    </row>
    <row r="61" spans="1:3" ht="15">
      <c r="A61" s="34">
        <v>42067</v>
      </c>
      <c r="B61" s="55" t="s">
        <v>83</v>
      </c>
      <c r="C61" s="78">
        <v>10.24</v>
      </c>
    </row>
    <row r="62" spans="1:3" ht="15">
      <c r="A62" s="34">
        <v>42082</v>
      </c>
      <c r="B62" t="s">
        <v>88</v>
      </c>
      <c r="C62" s="24">
        <v>62.07</v>
      </c>
    </row>
    <row r="63" spans="1:3" ht="15">
      <c r="A63" s="34">
        <v>42102</v>
      </c>
      <c r="B63" t="s">
        <v>97</v>
      </c>
      <c r="C63" s="24">
        <f>10.39*1.05</f>
        <v>10.909500000000001</v>
      </c>
    </row>
    <row r="64" spans="1:3" ht="15">
      <c r="A64" s="34">
        <v>42102</v>
      </c>
      <c r="B64" t="s">
        <v>96</v>
      </c>
      <c r="C64" s="24">
        <f>10.39*1.05</f>
        <v>10.909500000000001</v>
      </c>
    </row>
    <row r="65" spans="1:3" ht="15">
      <c r="A65" s="34">
        <v>42115</v>
      </c>
      <c r="B65" t="s">
        <v>121</v>
      </c>
      <c r="C65" s="24">
        <v>15.74</v>
      </c>
    </row>
    <row r="66" spans="1:3" s="55" customFormat="1" ht="15">
      <c r="A66" s="34">
        <v>42121</v>
      </c>
      <c r="B66" t="s">
        <v>123</v>
      </c>
      <c r="C66" s="24">
        <v>6.07</v>
      </c>
    </row>
    <row r="67" spans="1:3" ht="15">
      <c r="A67" s="34">
        <v>42205</v>
      </c>
      <c r="B67" s="55" t="s">
        <v>151</v>
      </c>
      <c r="C67" s="78">
        <v>10.49</v>
      </c>
    </row>
    <row r="68" spans="1:3" ht="15">
      <c r="A68" s="34">
        <v>42251</v>
      </c>
      <c r="B68" t="s">
        <v>174</v>
      </c>
      <c r="C68" s="24">
        <v>30.96</v>
      </c>
    </row>
    <row r="69" spans="1:4" ht="15">
      <c r="A69" s="34">
        <v>42443</v>
      </c>
      <c r="B69" t="s">
        <v>180</v>
      </c>
      <c r="C69" s="24">
        <v>31.49</v>
      </c>
      <c r="D69" t="s">
        <v>73</v>
      </c>
    </row>
    <row r="70" spans="1:3" ht="15">
      <c r="A70" s="34">
        <v>42443</v>
      </c>
      <c r="B70" t="s">
        <v>187</v>
      </c>
      <c r="C70" s="24">
        <v>27.95</v>
      </c>
    </row>
    <row r="71" spans="1:3" ht="15">
      <c r="A71" s="34">
        <v>42443</v>
      </c>
      <c r="B71" t="s">
        <v>182</v>
      </c>
      <c r="C71" s="24">
        <v>3.41</v>
      </c>
    </row>
    <row r="72" spans="1:3" ht="15">
      <c r="A72" s="34">
        <v>42443</v>
      </c>
      <c r="B72" t="s">
        <v>188</v>
      </c>
      <c r="C72" s="24">
        <v>4.66</v>
      </c>
    </row>
    <row r="73" ht="15">
      <c r="A73" s="34"/>
    </row>
    <row r="74" spans="1:3" ht="18.75">
      <c r="A74" s="34"/>
      <c r="B74" s="25" t="s">
        <v>71</v>
      </c>
      <c r="C74" s="51">
        <f>SUM(C56:C73)</f>
        <v>289.1690000000001</v>
      </c>
    </row>
    <row r="75" ht="15">
      <c r="A75" s="34"/>
    </row>
  </sheetData>
  <sheetProtection/>
  <printOptions/>
  <pageMargins left="0.7" right="0.7" top="0.75" bottom="0.75" header="0.3" footer="0.3"/>
  <pageSetup fitToHeight="1" fitToWidth="1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37">
      <selection activeCell="E57" sqref="E57"/>
    </sheetView>
  </sheetViews>
  <sheetFormatPr defaultColWidth="9.140625" defaultRowHeight="15"/>
  <cols>
    <col min="1" max="1" width="35.57421875" style="0" customWidth="1"/>
    <col min="2" max="2" width="12.140625" style="0" customWidth="1"/>
    <col min="3" max="3" width="11.57421875" style="0" bestFit="1" customWidth="1"/>
    <col min="4" max="4" width="9.8515625" style="0" bestFit="1" customWidth="1"/>
    <col min="5" max="5" width="9.8515625" style="0" customWidth="1"/>
    <col min="6" max="6" width="7.00390625" style="0" bestFit="1" customWidth="1"/>
    <col min="7" max="7" width="8.421875" style="0" bestFit="1" customWidth="1"/>
    <col min="8" max="8" width="7.00390625" style="0" bestFit="1" customWidth="1"/>
  </cols>
  <sheetData>
    <row r="1" ht="18.75">
      <c r="A1" s="47" t="s">
        <v>2</v>
      </c>
    </row>
    <row r="2" spans="1:8" ht="37.5">
      <c r="A2" s="1" t="s">
        <v>0</v>
      </c>
      <c r="B2" s="5" t="s">
        <v>8</v>
      </c>
      <c r="C2" s="5" t="s">
        <v>3</v>
      </c>
      <c r="D2" s="8" t="s">
        <v>9</v>
      </c>
      <c r="E2" s="36" t="s">
        <v>25</v>
      </c>
      <c r="F2" s="8" t="s">
        <v>10</v>
      </c>
      <c r="G2" s="8" t="s">
        <v>11</v>
      </c>
      <c r="H2" s="8" t="s">
        <v>12</v>
      </c>
    </row>
    <row r="3" spans="1:8" ht="15">
      <c r="A3" t="s">
        <v>15</v>
      </c>
      <c r="B3" s="3">
        <f>C5/B5</f>
        <v>1.3829787234042554</v>
      </c>
      <c r="C3">
        <v>1</v>
      </c>
      <c r="D3" s="3">
        <f>25/3*2</f>
        <v>16.666666666666668</v>
      </c>
      <c r="E3" s="37">
        <f>25/3*2</f>
        <v>16.666666666666668</v>
      </c>
      <c r="F3" s="2">
        <v>25</v>
      </c>
      <c r="G3" s="2">
        <v>37.5</v>
      </c>
      <c r="H3" s="2">
        <v>75</v>
      </c>
    </row>
    <row r="4" spans="1:8" ht="15">
      <c r="A4" t="s">
        <v>44</v>
      </c>
      <c r="B4" s="4">
        <v>1800</v>
      </c>
      <c r="C4" s="4">
        <f>B4*B3</f>
        <v>2489.3617021276596</v>
      </c>
      <c r="D4" s="4">
        <f aca="true" t="shared" si="0" ref="D4:H7">$C4/D$3</f>
        <v>149.36170212765956</v>
      </c>
      <c r="E4" s="38">
        <v>150</v>
      </c>
      <c r="F4" s="4">
        <f t="shared" si="0"/>
        <v>99.57446808510639</v>
      </c>
      <c r="G4" s="4">
        <f t="shared" si="0"/>
        <v>66.38297872340425</v>
      </c>
      <c r="H4" s="4">
        <f t="shared" si="0"/>
        <v>33.191489361702125</v>
      </c>
    </row>
    <row r="5" spans="1:8" ht="15">
      <c r="A5" t="s">
        <v>1</v>
      </c>
      <c r="B5" s="4">
        <v>28200</v>
      </c>
      <c r="C5" s="4">
        <v>39000</v>
      </c>
      <c r="D5" s="4">
        <f t="shared" si="0"/>
        <v>2340</v>
      </c>
      <c r="E5" s="38">
        <v>2340</v>
      </c>
      <c r="F5" s="4">
        <f t="shared" si="0"/>
        <v>1560</v>
      </c>
      <c r="G5" s="4">
        <f t="shared" si="0"/>
        <v>1040</v>
      </c>
      <c r="H5" s="4">
        <f t="shared" si="0"/>
        <v>520</v>
      </c>
    </row>
    <row r="6" spans="1:8" ht="15">
      <c r="A6" t="s">
        <v>4</v>
      </c>
      <c r="B6" s="2"/>
      <c r="C6" s="4">
        <f>336*25</f>
        <v>8400</v>
      </c>
      <c r="D6" s="4">
        <f t="shared" si="0"/>
        <v>503.99999999999994</v>
      </c>
      <c r="E6" s="38">
        <v>504</v>
      </c>
      <c r="F6" s="4">
        <f t="shared" si="0"/>
        <v>336</v>
      </c>
      <c r="G6" s="4">
        <f t="shared" si="0"/>
        <v>224</v>
      </c>
      <c r="H6" s="4">
        <f t="shared" si="0"/>
        <v>112</v>
      </c>
    </row>
    <row r="7" spans="1:8" ht="15">
      <c r="A7" t="s">
        <v>5</v>
      </c>
      <c r="B7" s="2"/>
      <c r="C7" s="4">
        <f>162*25</f>
        <v>4050</v>
      </c>
      <c r="D7" s="4">
        <f t="shared" si="0"/>
        <v>242.99999999999997</v>
      </c>
      <c r="E7" s="38">
        <v>243</v>
      </c>
      <c r="F7" s="4">
        <f t="shared" si="0"/>
        <v>162</v>
      </c>
      <c r="G7" s="4">
        <f t="shared" si="0"/>
        <v>108</v>
      </c>
      <c r="H7" s="4">
        <f t="shared" si="0"/>
        <v>54</v>
      </c>
    </row>
    <row r="8" spans="1:8" ht="15">
      <c r="A8" s="10" t="s">
        <v>13</v>
      </c>
      <c r="B8" s="11" t="s">
        <v>14</v>
      </c>
      <c r="C8" s="11" t="s">
        <v>14</v>
      </c>
      <c r="D8" s="11" t="s">
        <v>14</v>
      </c>
      <c r="E8" s="39" t="s">
        <v>26</v>
      </c>
      <c r="F8" s="11" t="s">
        <v>14</v>
      </c>
      <c r="G8" s="11" t="s">
        <v>14</v>
      </c>
      <c r="H8" s="11" t="s">
        <v>14</v>
      </c>
    </row>
    <row r="9" spans="1:5" ht="15">
      <c r="A9" t="s">
        <v>67</v>
      </c>
      <c r="B9" s="2"/>
      <c r="E9" s="40"/>
    </row>
    <row r="10" spans="1:8" ht="15">
      <c r="A10" t="s">
        <v>31</v>
      </c>
      <c r="B10">
        <v>71</v>
      </c>
      <c r="C10">
        <v>71</v>
      </c>
      <c r="D10">
        <v>71</v>
      </c>
      <c r="E10" s="40">
        <v>71</v>
      </c>
      <c r="F10">
        <v>71</v>
      </c>
      <c r="G10">
        <v>71</v>
      </c>
      <c r="H10">
        <v>71</v>
      </c>
    </row>
    <row r="11" spans="1:8" ht="15">
      <c r="A11" t="s">
        <v>6</v>
      </c>
      <c r="B11">
        <v>128</v>
      </c>
      <c r="C11" s="7">
        <f>B11*$B$3</f>
        <v>177.0212765957447</v>
      </c>
      <c r="D11" s="16">
        <f>$C11/D$3</f>
        <v>10.62127659574468</v>
      </c>
      <c r="E11" s="41">
        <v>10.5</v>
      </c>
      <c r="F11" s="7">
        <f>$C11/F$3</f>
        <v>7.080851063829788</v>
      </c>
      <c r="G11" s="7">
        <f>$C11/G$3</f>
        <v>4.720567375886525</v>
      </c>
      <c r="H11" s="7">
        <f>$C11/H$3</f>
        <v>2.3602836879432627</v>
      </c>
    </row>
    <row r="12" spans="1:8" ht="15">
      <c r="A12" t="s">
        <v>32</v>
      </c>
      <c r="B12" s="6">
        <f>B11/2*0.95</f>
        <v>60.8</v>
      </c>
      <c r="C12" s="7">
        <f>B12*$B$3</f>
        <v>84.08510638297872</v>
      </c>
      <c r="D12" s="16">
        <f aca="true" t="shared" si="1" ref="D12:H16">$C12/D$3</f>
        <v>5.045106382978723</v>
      </c>
      <c r="E12" s="41">
        <v>5</v>
      </c>
      <c r="F12" s="7">
        <f t="shared" si="1"/>
        <v>3.363404255319149</v>
      </c>
      <c r="G12" s="7">
        <f t="shared" si="1"/>
        <v>2.2422695035460993</v>
      </c>
      <c r="H12" s="7">
        <f t="shared" si="1"/>
        <v>1.1211347517730497</v>
      </c>
    </row>
    <row r="13" spans="1:8" ht="15">
      <c r="A13" t="s">
        <v>34</v>
      </c>
      <c r="B13" s="6"/>
      <c r="C13" s="7"/>
      <c r="D13" s="16"/>
      <c r="E13" s="41">
        <v>9.5</v>
      </c>
      <c r="F13" s="7"/>
      <c r="G13" s="7"/>
      <c r="H13" s="7"/>
    </row>
    <row r="14" spans="1:8" ht="15">
      <c r="A14" t="s">
        <v>33</v>
      </c>
      <c r="B14" s="6">
        <f>B12*1.5</f>
        <v>91.19999999999999</v>
      </c>
      <c r="C14" s="7">
        <f>B14*$B$3</f>
        <v>126.12765957446808</v>
      </c>
      <c r="D14" s="16">
        <f>$C14/D$3</f>
        <v>7.567659574468085</v>
      </c>
      <c r="E14" s="41">
        <v>7</v>
      </c>
      <c r="F14" s="7">
        <f>$C14/F$3</f>
        <v>5.045106382978723</v>
      </c>
      <c r="G14" s="7">
        <f>$C14/G$3</f>
        <v>3.363404255319149</v>
      </c>
      <c r="H14" s="7">
        <f>$C14/H$3</f>
        <v>1.6817021276595745</v>
      </c>
    </row>
    <row r="15" spans="1:11" ht="15">
      <c r="A15" t="s">
        <v>65</v>
      </c>
      <c r="B15" s="6">
        <f>B10*B11/PI()</f>
        <v>2892.8002456382897</v>
      </c>
      <c r="C15" s="7">
        <f>B15*$B$3</f>
        <v>4000.6811907763586</v>
      </c>
      <c r="D15" s="16">
        <f t="shared" si="1"/>
        <v>240.0408714465815</v>
      </c>
      <c r="E15" s="41">
        <v>237</v>
      </c>
      <c r="F15" s="7">
        <f t="shared" si="1"/>
        <v>160.02724763105434</v>
      </c>
      <c r="G15" s="7">
        <f t="shared" si="1"/>
        <v>106.68483175403622</v>
      </c>
      <c r="H15" s="7">
        <f t="shared" si="1"/>
        <v>53.34241587701811</v>
      </c>
      <c r="K15" s="21"/>
    </row>
    <row r="16" spans="1:8" ht="15">
      <c r="A16" s="10" t="s">
        <v>7</v>
      </c>
      <c r="B16" s="12">
        <f>B15+B14</f>
        <v>2984.0002456382895</v>
      </c>
      <c r="C16" s="13">
        <f>B16*$B$3</f>
        <v>4126.808850350826</v>
      </c>
      <c r="D16" s="17">
        <f t="shared" si="1"/>
        <v>247.60853102104954</v>
      </c>
      <c r="E16" s="42">
        <f>E15+E14</f>
        <v>244</v>
      </c>
      <c r="F16" s="13">
        <f t="shared" si="1"/>
        <v>165.07235401403304</v>
      </c>
      <c r="G16" s="13">
        <f t="shared" si="1"/>
        <v>110.04823600935536</v>
      </c>
      <c r="H16" s="13">
        <f t="shared" si="1"/>
        <v>55.02411800467768</v>
      </c>
    </row>
    <row r="17" spans="1:5" ht="15">
      <c r="A17" t="s">
        <v>68</v>
      </c>
      <c r="E17" s="40"/>
    </row>
    <row r="18" spans="1:8" ht="15">
      <c r="A18" t="s">
        <v>31</v>
      </c>
      <c r="B18">
        <v>32</v>
      </c>
      <c r="C18">
        <v>32</v>
      </c>
      <c r="D18">
        <v>32</v>
      </c>
      <c r="E18" s="40">
        <v>32</v>
      </c>
      <c r="F18">
        <v>32</v>
      </c>
      <c r="G18">
        <v>32</v>
      </c>
      <c r="H18">
        <v>32</v>
      </c>
    </row>
    <row r="19" spans="1:8" ht="15">
      <c r="A19" t="s">
        <v>6</v>
      </c>
      <c r="B19">
        <v>128</v>
      </c>
      <c r="C19" s="7">
        <f>B19*$B$3</f>
        <v>177.0212765957447</v>
      </c>
      <c r="D19" s="16">
        <f>$C19/D$3</f>
        <v>10.62127659574468</v>
      </c>
      <c r="E19" s="41">
        <v>10.5</v>
      </c>
      <c r="F19" s="7">
        <f>$C19/F$3</f>
        <v>7.080851063829788</v>
      </c>
      <c r="G19" s="7">
        <f>$C19/G$3</f>
        <v>4.720567375886525</v>
      </c>
      <c r="H19" s="7">
        <f>$C19/H$3</f>
        <v>2.3602836879432627</v>
      </c>
    </row>
    <row r="20" spans="1:8" ht="15">
      <c r="A20" t="s">
        <v>64</v>
      </c>
      <c r="B20" s="6">
        <f>B19/2*0.95</f>
        <v>60.8</v>
      </c>
      <c r="C20" s="7">
        <f>B20*$B$3</f>
        <v>84.08510638297872</v>
      </c>
      <c r="D20" s="16">
        <f aca="true" t="shared" si="2" ref="D20:H24">$C20/D$3</f>
        <v>5.045106382978723</v>
      </c>
      <c r="E20" s="41">
        <v>5</v>
      </c>
      <c r="F20" s="7">
        <f t="shared" si="2"/>
        <v>3.363404255319149</v>
      </c>
      <c r="G20" s="7">
        <f t="shared" si="2"/>
        <v>2.2422695035460993</v>
      </c>
      <c r="H20" s="7">
        <f t="shared" si="2"/>
        <v>1.1211347517730497</v>
      </c>
    </row>
    <row r="21" spans="1:8" ht="15">
      <c r="A21" t="s">
        <v>34</v>
      </c>
      <c r="B21" s="6"/>
      <c r="C21" s="7"/>
      <c r="D21" s="16"/>
      <c r="E21" s="41">
        <v>9.5</v>
      </c>
      <c r="F21" s="7"/>
      <c r="G21" s="7"/>
      <c r="H21" s="7"/>
    </row>
    <row r="22" spans="1:8" ht="15">
      <c r="A22" t="s">
        <v>33</v>
      </c>
      <c r="B22" s="6">
        <f>B20*1.5</f>
        <v>91.19999999999999</v>
      </c>
      <c r="C22" s="7">
        <f>B22*$B$3</f>
        <v>126.12765957446808</v>
      </c>
      <c r="D22" s="16">
        <f>$C22/D$3</f>
        <v>7.567659574468085</v>
      </c>
      <c r="E22" s="41">
        <v>7</v>
      </c>
      <c r="F22" s="7">
        <f>$C22/F$3</f>
        <v>5.045106382978723</v>
      </c>
      <c r="G22" s="7">
        <f>$C22/G$3</f>
        <v>3.363404255319149</v>
      </c>
      <c r="H22" s="7">
        <f>$C22/H$3</f>
        <v>1.6817021276595745</v>
      </c>
    </row>
    <row r="23" spans="1:8" ht="15">
      <c r="A23" t="s">
        <v>65</v>
      </c>
      <c r="B23" s="6">
        <f>B18*B19/PI()</f>
        <v>1303.7972938088067</v>
      </c>
      <c r="C23" s="7">
        <f>B23*$B$3</f>
        <v>1803.1239169696264</v>
      </c>
      <c r="D23" s="16">
        <f t="shared" si="2"/>
        <v>108.18743501817758</v>
      </c>
      <c r="E23" s="41">
        <v>107</v>
      </c>
      <c r="F23" s="7">
        <f t="shared" si="2"/>
        <v>72.12495667878505</v>
      </c>
      <c r="G23" s="7">
        <f t="shared" si="2"/>
        <v>48.08330445252337</v>
      </c>
      <c r="H23" s="7">
        <f t="shared" si="2"/>
        <v>24.041652226261686</v>
      </c>
    </row>
    <row r="24" spans="1:8" ht="15">
      <c r="A24" s="10" t="s">
        <v>7</v>
      </c>
      <c r="B24" s="12">
        <f>B23+B20</f>
        <v>1364.5972938088066</v>
      </c>
      <c r="C24" s="13">
        <f>B24*$B$3</f>
        <v>1887.209023352605</v>
      </c>
      <c r="D24" s="13">
        <f t="shared" si="2"/>
        <v>113.2325414011563</v>
      </c>
      <c r="E24" s="42">
        <f>E23+E22</f>
        <v>114</v>
      </c>
      <c r="F24" s="13">
        <f t="shared" si="2"/>
        <v>75.48836093410421</v>
      </c>
      <c r="G24" s="13">
        <f t="shared" si="2"/>
        <v>50.32557395606947</v>
      </c>
      <c r="H24" s="13">
        <f t="shared" si="2"/>
        <v>25.162786978034735</v>
      </c>
    </row>
    <row r="25" spans="1:5" ht="15">
      <c r="A25" t="s">
        <v>69</v>
      </c>
      <c r="E25" s="40"/>
    </row>
    <row r="26" spans="1:8" ht="15">
      <c r="A26" t="s">
        <v>31</v>
      </c>
      <c r="B26">
        <v>41</v>
      </c>
      <c r="C26">
        <v>41</v>
      </c>
      <c r="D26">
        <v>41</v>
      </c>
      <c r="E26" s="40">
        <v>41</v>
      </c>
      <c r="F26">
        <v>41</v>
      </c>
      <c r="G26">
        <v>41</v>
      </c>
      <c r="H26">
        <v>41</v>
      </c>
    </row>
    <row r="27" spans="1:10" ht="15">
      <c r="A27" t="s">
        <v>6</v>
      </c>
      <c r="B27">
        <v>120</v>
      </c>
      <c r="C27" s="7">
        <f>B27*$B$3</f>
        <v>165.95744680851064</v>
      </c>
      <c r="D27" s="16">
        <f>$C27/D$3</f>
        <v>9.957446808510637</v>
      </c>
      <c r="E27" s="41">
        <v>10.5</v>
      </c>
      <c r="F27" s="7">
        <f aca="true" t="shared" si="3" ref="F27:H32">$C27/F$3</f>
        <v>6.638297872340425</v>
      </c>
      <c r="G27" s="7">
        <f t="shared" si="3"/>
        <v>4.425531914893617</v>
      </c>
      <c r="H27" s="7">
        <f t="shared" si="3"/>
        <v>2.2127659574468086</v>
      </c>
      <c r="J27" s="7"/>
    </row>
    <row r="28" spans="1:8" ht="15">
      <c r="A28" t="s">
        <v>35</v>
      </c>
      <c r="B28" s="6">
        <f>B27/2*0.95</f>
        <v>57</v>
      </c>
      <c r="C28" s="7">
        <f>B28*$B$3</f>
        <v>78.82978723404256</v>
      </c>
      <c r="D28" s="16">
        <f>$C28/D$3</f>
        <v>4.729787234042553</v>
      </c>
      <c r="E28" s="41">
        <v>5</v>
      </c>
      <c r="F28" s="7">
        <f t="shared" si="3"/>
        <v>3.1531914893617023</v>
      </c>
      <c r="G28" s="7">
        <f t="shared" si="3"/>
        <v>2.1021276595744682</v>
      </c>
      <c r="H28" s="7">
        <f t="shared" si="3"/>
        <v>1.0510638297872341</v>
      </c>
    </row>
    <row r="29" spans="1:8" ht="15">
      <c r="A29" t="s">
        <v>34</v>
      </c>
      <c r="B29" s="6"/>
      <c r="C29" s="7"/>
      <c r="D29" s="16"/>
      <c r="E29" s="41">
        <v>12</v>
      </c>
      <c r="F29" s="7"/>
      <c r="G29" s="7"/>
      <c r="H29" s="7"/>
    </row>
    <row r="30" spans="1:8" ht="15">
      <c r="A30" t="s">
        <v>33</v>
      </c>
      <c r="B30" s="6">
        <f>B28*1.5</f>
        <v>85.5</v>
      </c>
      <c r="C30" s="7">
        <f>B30*$B$3</f>
        <v>118.24468085106383</v>
      </c>
      <c r="D30" s="16">
        <f>$C30/D$3</f>
        <v>7.0946808510638295</v>
      </c>
      <c r="E30" s="41">
        <v>7</v>
      </c>
      <c r="F30" s="7">
        <f>$C30/F$3</f>
        <v>4.729787234042553</v>
      </c>
      <c r="G30" s="7">
        <f>$C30/G$3</f>
        <v>3.1531914893617023</v>
      </c>
      <c r="H30" s="7">
        <f>$C30/H$3</f>
        <v>1.5765957446808512</v>
      </c>
    </row>
    <row r="31" spans="1:8" ht="15">
      <c r="A31" t="s">
        <v>65</v>
      </c>
      <c r="B31" s="6">
        <f>B26*B27/PI()</f>
        <v>1566.0846400242501</v>
      </c>
      <c r="C31" s="7">
        <f>B31*$B$3</f>
        <v>2165.8617362037503</v>
      </c>
      <c r="D31" s="16">
        <f>$C31/D$3</f>
        <v>129.95170417222502</v>
      </c>
      <c r="E31" s="41">
        <v>137</v>
      </c>
      <c r="F31" s="7">
        <f t="shared" si="3"/>
        <v>86.63446944815001</v>
      </c>
      <c r="G31" s="7">
        <f t="shared" si="3"/>
        <v>57.75631296543334</v>
      </c>
      <c r="H31" s="7">
        <f t="shared" si="3"/>
        <v>28.87815648271667</v>
      </c>
    </row>
    <row r="32" spans="1:8" ht="15">
      <c r="A32" s="10" t="s">
        <v>7</v>
      </c>
      <c r="B32" s="12">
        <f>B31+B28</f>
        <v>1623.0846400242501</v>
      </c>
      <c r="C32" s="13">
        <f>B32*$B$3</f>
        <v>2244.691523437793</v>
      </c>
      <c r="D32" s="17">
        <f>$C32/D$3</f>
        <v>134.68149140626758</v>
      </c>
      <c r="E32" s="42">
        <f>E31+E30</f>
        <v>144</v>
      </c>
      <c r="F32" s="13">
        <f t="shared" si="3"/>
        <v>89.78766093751172</v>
      </c>
      <c r="G32" s="13">
        <f t="shared" si="3"/>
        <v>59.85844062500781</v>
      </c>
      <c r="H32" s="13">
        <f t="shared" si="3"/>
        <v>29.929220312503904</v>
      </c>
    </row>
    <row r="33" spans="1:5" ht="15">
      <c r="A33" t="s">
        <v>70</v>
      </c>
      <c r="E33" s="40"/>
    </row>
    <row r="34" spans="1:8" ht="15">
      <c r="A34" t="s">
        <v>31</v>
      </c>
      <c r="B34">
        <v>47</v>
      </c>
      <c r="C34">
        <v>47</v>
      </c>
      <c r="D34">
        <v>47</v>
      </c>
      <c r="E34" s="40">
        <v>47</v>
      </c>
      <c r="F34">
        <v>47</v>
      </c>
      <c r="G34">
        <v>47</v>
      </c>
      <c r="H34">
        <v>47</v>
      </c>
    </row>
    <row r="35" spans="1:8" ht="15">
      <c r="A35" t="s">
        <v>6</v>
      </c>
      <c r="B35">
        <v>120</v>
      </c>
      <c r="C35" s="7">
        <f>B35*$B$3</f>
        <v>165.95744680851064</v>
      </c>
      <c r="D35" s="16">
        <f>$C35/D$3</f>
        <v>9.957446808510637</v>
      </c>
      <c r="E35" s="41">
        <v>10.5</v>
      </c>
      <c r="F35" s="7">
        <f aca="true" t="shared" si="4" ref="F35:H40">$C35/F$3</f>
        <v>6.638297872340425</v>
      </c>
      <c r="G35" s="7">
        <f t="shared" si="4"/>
        <v>4.425531914893617</v>
      </c>
      <c r="H35" s="7">
        <f t="shared" si="4"/>
        <v>2.2127659574468086</v>
      </c>
    </row>
    <row r="36" spans="1:8" ht="15">
      <c r="A36" t="s">
        <v>32</v>
      </c>
      <c r="B36" s="6">
        <f>B35/2*0.95</f>
        <v>57</v>
      </c>
      <c r="C36" s="7">
        <f>B36*$B$3</f>
        <v>78.82978723404256</v>
      </c>
      <c r="D36" s="16">
        <f>$C36/D$3</f>
        <v>4.729787234042553</v>
      </c>
      <c r="E36" s="41">
        <v>5</v>
      </c>
      <c r="F36" s="7">
        <f t="shared" si="4"/>
        <v>3.1531914893617023</v>
      </c>
      <c r="G36" s="7">
        <f t="shared" si="4"/>
        <v>2.1021276595744682</v>
      </c>
      <c r="H36" s="7">
        <f t="shared" si="4"/>
        <v>1.0510638297872341</v>
      </c>
    </row>
    <row r="37" spans="1:8" ht="15">
      <c r="A37" t="s">
        <v>34</v>
      </c>
      <c r="B37" s="6"/>
      <c r="C37" s="7"/>
      <c r="D37" s="16"/>
      <c r="E37" s="41">
        <v>12</v>
      </c>
      <c r="F37" s="7"/>
      <c r="G37" s="7"/>
      <c r="H37" s="7"/>
    </row>
    <row r="38" spans="1:8" ht="15">
      <c r="A38" t="s">
        <v>33</v>
      </c>
      <c r="B38" s="6">
        <f>B36*1.5</f>
        <v>85.5</v>
      </c>
      <c r="C38" s="7">
        <f>B38*$B$3</f>
        <v>118.24468085106383</v>
      </c>
      <c r="D38" s="16">
        <f>$C38/D$3</f>
        <v>7.0946808510638295</v>
      </c>
      <c r="E38" s="41">
        <v>7</v>
      </c>
      <c r="F38" s="7">
        <f>$C38/F$3</f>
        <v>4.729787234042553</v>
      </c>
      <c r="G38" s="7">
        <f>$C38/G$3</f>
        <v>3.1531914893617023</v>
      </c>
      <c r="H38" s="7">
        <f>$C38/H$3</f>
        <v>1.5765957446808512</v>
      </c>
    </row>
    <row r="39" spans="1:8" ht="15">
      <c r="A39" t="s">
        <v>65</v>
      </c>
      <c r="B39" s="6">
        <f>B34*B35/PI()</f>
        <v>1795.2677580765794</v>
      </c>
      <c r="C39" s="7">
        <f>B39*$B$3</f>
        <v>2482.8171122335675</v>
      </c>
      <c r="D39" s="16">
        <f>$C39/D$3</f>
        <v>148.96902673401405</v>
      </c>
      <c r="E39" s="41">
        <v>157</v>
      </c>
      <c r="F39" s="7">
        <f t="shared" si="4"/>
        <v>99.3126844893427</v>
      </c>
      <c r="G39" s="7">
        <f t="shared" si="4"/>
        <v>66.20845632622847</v>
      </c>
      <c r="H39" s="7">
        <f t="shared" si="4"/>
        <v>33.104228163114236</v>
      </c>
    </row>
    <row r="40" spans="1:8" ht="15">
      <c r="A40" s="10" t="s">
        <v>7</v>
      </c>
      <c r="B40" s="12">
        <f>B39+B38</f>
        <v>1880.7677580765794</v>
      </c>
      <c r="C40" s="13">
        <f>B40*$B$3</f>
        <v>2601.0617930846315</v>
      </c>
      <c r="D40" s="17">
        <f>$C40/D$3</f>
        <v>156.06370758507788</v>
      </c>
      <c r="E40" s="42">
        <f>E39+E38</f>
        <v>164</v>
      </c>
      <c r="F40" s="13">
        <f t="shared" si="4"/>
        <v>104.04247172338526</v>
      </c>
      <c r="G40" s="13">
        <f t="shared" si="4"/>
        <v>69.36164781559017</v>
      </c>
      <c r="H40" s="13">
        <f t="shared" si="4"/>
        <v>34.68082390779509</v>
      </c>
    </row>
    <row r="41" spans="1:8" ht="15">
      <c r="A41" s="14" t="s">
        <v>21</v>
      </c>
      <c r="B41" s="15">
        <f>B10/B18*B26/B34</f>
        <v>1.9355053191489362</v>
      </c>
      <c r="C41" s="15">
        <f>C10/C18*C26/C34</f>
        <v>1.9355053191489362</v>
      </c>
      <c r="D41" s="15">
        <f>D10/D18*D26/D34</f>
        <v>1.9355053191489362</v>
      </c>
      <c r="E41" s="43">
        <v>1.9</v>
      </c>
      <c r="F41" s="15">
        <f>F10/F18*F26/F34</f>
        <v>1.9355053191489362</v>
      </c>
      <c r="G41" s="15">
        <f>G10/G18*G26/G34</f>
        <v>1.9355053191489362</v>
      </c>
      <c r="H41" s="15">
        <f>H10/H18*H26/H34</f>
        <v>1.9355053191489362</v>
      </c>
    </row>
    <row r="42" spans="1:8" ht="15">
      <c r="A42" s="14" t="s">
        <v>16</v>
      </c>
      <c r="B42" s="9" t="s">
        <v>17</v>
      </c>
      <c r="C42" s="9" t="s">
        <v>17</v>
      </c>
      <c r="D42" s="9" t="s">
        <v>17</v>
      </c>
      <c r="E42" s="44" t="s">
        <v>66</v>
      </c>
      <c r="F42" s="9" t="s">
        <v>17</v>
      </c>
      <c r="G42" s="9" t="s">
        <v>17</v>
      </c>
      <c r="H42" s="9" t="s">
        <v>17</v>
      </c>
    </row>
    <row r="43" spans="1:8" ht="15">
      <c r="A43" s="14" t="s">
        <v>23</v>
      </c>
      <c r="B43" s="9">
        <v>3</v>
      </c>
      <c r="C43" s="9">
        <v>3</v>
      </c>
      <c r="D43" s="9">
        <v>3</v>
      </c>
      <c r="E43" s="44">
        <v>3</v>
      </c>
      <c r="F43" s="9">
        <v>3</v>
      </c>
      <c r="G43" s="9">
        <v>3</v>
      </c>
      <c r="H43" s="9">
        <v>3</v>
      </c>
    </row>
    <row r="44" spans="1:8" ht="15">
      <c r="A44" t="s">
        <v>18</v>
      </c>
      <c r="B44" s="6">
        <v>1800</v>
      </c>
      <c r="C44" s="6">
        <f>B44*$B$3</f>
        <v>2489.3617021276596</v>
      </c>
      <c r="D44" s="16">
        <f>$C44/D$3</f>
        <v>149.36170212765956</v>
      </c>
      <c r="E44" s="41">
        <v>150</v>
      </c>
      <c r="F44" s="7">
        <f aca="true" t="shared" si="5" ref="F44:H47">$C44/F$3</f>
        <v>99.57446808510639</v>
      </c>
      <c r="G44" s="7">
        <f t="shared" si="5"/>
        <v>66.38297872340425</v>
      </c>
      <c r="H44" s="7">
        <f t="shared" si="5"/>
        <v>33.191489361702125</v>
      </c>
    </row>
    <row r="45" spans="1:8" ht="15">
      <c r="A45" t="s">
        <v>19</v>
      </c>
      <c r="B45" s="6">
        <v>600</v>
      </c>
      <c r="C45" s="6">
        <f>B45*$B$3</f>
        <v>829.7872340425532</v>
      </c>
      <c r="D45" s="16">
        <f>$C45/D$3</f>
        <v>49.78723404255319</v>
      </c>
      <c r="E45" s="41">
        <v>50</v>
      </c>
      <c r="F45" s="7">
        <f t="shared" si="5"/>
        <v>33.19148936170213</v>
      </c>
      <c r="G45" s="7">
        <f t="shared" si="5"/>
        <v>22.127659574468087</v>
      </c>
      <c r="H45" s="7">
        <f t="shared" si="5"/>
        <v>11.063829787234043</v>
      </c>
    </row>
    <row r="46" spans="1:8" ht="15">
      <c r="A46" s="14" t="s">
        <v>22</v>
      </c>
      <c r="B46" s="6">
        <v>1800</v>
      </c>
      <c r="C46" s="6">
        <f>B46*$B$3</f>
        <v>2489.3617021276596</v>
      </c>
      <c r="D46" s="16">
        <f>$C46/D$3</f>
        <v>149.36170212765956</v>
      </c>
      <c r="E46" s="41">
        <v>150</v>
      </c>
      <c r="F46" s="7">
        <f t="shared" si="5"/>
        <v>99.57446808510639</v>
      </c>
      <c r="G46" s="7">
        <f t="shared" si="5"/>
        <v>66.38297872340425</v>
      </c>
      <c r="H46" s="7">
        <f t="shared" si="5"/>
        <v>33.191489361702125</v>
      </c>
    </row>
    <row r="47" spans="1:8" ht="15">
      <c r="A47" s="14" t="s">
        <v>27</v>
      </c>
      <c r="B47" s="20">
        <f>C47/B3</f>
        <v>7833.333333333333</v>
      </c>
      <c r="C47" s="20">
        <f>D47*D3</f>
        <v>10833.333333333334</v>
      </c>
      <c r="D47" s="18">
        <v>650</v>
      </c>
      <c r="E47" s="41">
        <v>650</v>
      </c>
      <c r="F47" s="19">
        <f t="shared" si="5"/>
        <v>433.33333333333337</v>
      </c>
      <c r="G47" s="19">
        <f t="shared" si="5"/>
        <v>288.8888888888889</v>
      </c>
      <c r="H47" s="19">
        <f t="shared" si="5"/>
        <v>144.44444444444446</v>
      </c>
    </row>
    <row r="48" spans="1:5" ht="15">
      <c r="A48" t="s">
        <v>20</v>
      </c>
      <c r="D48" s="16"/>
      <c r="E48" s="49" t="s">
        <v>73</v>
      </c>
    </row>
    <row r="49" spans="1:8" ht="15">
      <c r="A49" t="s">
        <v>28</v>
      </c>
      <c r="B49">
        <v>100</v>
      </c>
      <c r="C49" s="7">
        <f>B49*$B$3</f>
        <v>138.29787234042556</v>
      </c>
      <c r="D49" s="16">
        <f>$C49/D$3</f>
        <v>8.297872340425533</v>
      </c>
      <c r="E49" s="41">
        <v>8</v>
      </c>
      <c r="F49" s="7">
        <f aca="true" t="shared" si="6" ref="F49:H50">$C49/F$3</f>
        <v>5.531914893617023</v>
      </c>
      <c r="G49" s="7">
        <f t="shared" si="6"/>
        <v>3.687943262411348</v>
      </c>
      <c r="H49" s="7">
        <f t="shared" si="6"/>
        <v>1.843971631205674</v>
      </c>
    </row>
    <row r="50" spans="1:8" ht="15">
      <c r="A50" t="s">
        <v>24</v>
      </c>
      <c r="B50" s="6">
        <v>2400</v>
      </c>
      <c r="C50" s="6">
        <f>B50*$B$3</f>
        <v>3319.148936170213</v>
      </c>
      <c r="D50" s="16">
        <f>$C50/D$3</f>
        <v>199.14893617021275</v>
      </c>
      <c r="E50" s="41">
        <v>200</v>
      </c>
      <c r="F50" s="7">
        <f t="shared" si="6"/>
        <v>132.76595744680853</v>
      </c>
      <c r="G50" s="7">
        <f t="shared" si="6"/>
        <v>88.51063829787235</v>
      </c>
      <c r="H50" s="7">
        <f t="shared" si="6"/>
        <v>44.255319148936174</v>
      </c>
    </row>
    <row r="51" spans="1:8" ht="15">
      <c r="A51" t="s">
        <v>29</v>
      </c>
      <c r="B51">
        <v>10</v>
      </c>
      <c r="C51">
        <f aca="true" t="shared" si="7" ref="C51:H51">B51</f>
        <v>10</v>
      </c>
      <c r="D51">
        <f t="shared" si="7"/>
        <v>10</v>
      </c>
      <c r="E51" s="45">
        <f t="shared" si="7"/>
        <v>10</v>
      </c>
      <c r="F51">
        <f t="shared" si="7"/>
        <v>10</v>
      </c>
      <c r="G51">
        <f t="shared" si="7"/>
        <v>10</v>
      </c>
      <c r="H51">
        <f t="shared" si="7"/>
        <v>10</v>
      </c>
    </row>
    <row r="52" spans="1:8" ht="15">
      <c r="A52" t="s">
        <v>30</v>
      </c>
      <c r="B52" s="6">
        <f>B41*B51*0.375*PI()/4*(B44^2-B45^2)*(B46-3*B49)*0.9/10^6</f>
        <v>22163.67506796316</v>
      </c>
      <c r="C52" s="6">
        <f aca="true" t="shared" si="8" ref="C52:H52">C41*C51*0.375*PI()/4*(C44^2-C45^2)*(C46-3*C49)*0.9/10^6</f>
        <v>58625.73096076382</v>
      </c>
      <c r="D52" s="16">
        <f t="shared" si="8"/>
        <v>12.663157887524982</v>
      </c>
      <c r="E52" s="46">
        <f t="shared" si="8"/>
        <v>12.691641621421065</v>
      </c>
      <c r="F52" s="16">
        <f t="shared" si="8"/>
        <v>3.752046781488885</v>
      </c>
      <c r="G52" s="16">
        <f t="shared" si="8"/>
        <v>1.111717564885595</v>
      </c>
      <c r="H52" s="16">
        <f t="shared" si="8"/>
        <v>0.13896469561069938</v>
      </c>
    </row>
  </sheetData>
  <sheetProtection/>
  <printOptions/>
  <pageMargins left="0.4330708661417323" right="0.4330708661417323" top="0.35433070866141736" bottom="0.35433070866141736" header="0.31496062992125984" footer="0.31496062992125984"/>
  <pageSetup fitToHeight="1" fitToWidth="1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7.57421875" style="0" bestFit="1" customWidth="1"/>
    <col min="2" max="2" width="7.57421875" style="0" bestFit="1" customWidth="1"/>
    <col min="3" max="3" width="9.8515625" style="0" bestFit="1" customWidth="1"/>
  </cols>
  <sheetData>
    <row r="1" spans="1:3" ht="15">
      <c r="A1" s="52" t="s">
        <v>108</v>
      </c>
      <c r="B1" s="26" t="s">
        <v>116</v>
      </c>
      <c r="C1" s="26" t="s">
        <v>117</v>
      </c>
    </row>
    <row r="2" spans="1:3" ht="15">
      <c r="A2" s="55" t="s">
        <v>109</v>
      </c>
      <c r="B2" s="55">
        <v>600</v>
      </c>
      <c r="C2" s="52"/>
    </row>
    <row r="3" spans="1:2" ht="15">
      <c r="A3" t="s">
        <v>110</v>
      </c>
      <c r="B3">
        <f>B2*1.05</f>
        <v>630</v>
      </c>
    </row>
    <row r="4" spans="1:2" ht="15">
      <c r="A4" t="s">
        <v>112</v>
      </c>
      <c r="B4">
        <v>149</v>
      </c>
    </row>
    <row r="5" spans="1:2" ht="15">
      <c r="A5" t="s">
        <v>111</v>
      </c>
      <c r="B5">
        <v>21.5</v>
      </c>
    </row>
    <row r="6" spans="1:2" ht="15">
      <c r="A6" t="s">
        <v>106</v>
      </c>
      <c r="B6">
        <f>B5*3</f>
        <v>64.5</v>
      </c>
    </row>
    <row r="7" spans="1:2" ht="15">
      <c r="A7" t="s">
        <v>113</v>
      </c>
      <c r="B7">
        <f>4*25.4</f>
        <v>101.6</v>
      </c>
    </row>
    <row r="8" spans="1:2" ht="15">
      <c r="A8" t="s">
        <v>114</v>
      </c>
      <c r="B8">
        <f>B7+B5</f>
        <v>123.1</v>
      </c>
    </row>
    <row r="9" spans="1:3" ht="15">
      <c r="A9" t="s">
        <v>115</v>
      </c>
      <c r="B9" s="16">
        <f>B3/B5</f>
        <v>29.302325581395348</v>
      </c>
      <c r="C9">
        <v>30</v>
      </c>
    </row>
    <row r="10" spans="1:2" ht="15">
      <c r="A10" t="s">
        <v>118</v>
      </c>
      <c r="B10" s="16">
        <f>PI()*B8</f>
        <v>386.7300556569035</v>
      </c>
    </row>
    <row r="11" spans="1:2" ht="15">
      <c r="A11" t="s">
        <v>93</v>
      </c>
      <c r="B11" s="16">
        <f>B9*B10</f>
        <v>11332.090002969731</v>
      </c>
    </row>
    <row r="12" spans="1:2" ht="15">
      <c r="A12" t="s">
        <v>94</v>
      </c>
      <c r="B12" s="16">
        <f>B11/1000</f>
        <v>11.332090002969732</v>
      </c>
    </row>
    <row r="13" spans="1:3" ht="15">
      <c r="A13" s="52" t="s">
        <v>95</v>
      </c>
      <c r="B13" s="53">
        <f>B11/304.8</f>
        <v>37.17877297562248</v>
      </c>
      <c r="C13">
        <v>50</v>
      </c>
    </row>
    <row r="15" ht="15">
      <c r="A15" s="52" t="s">
        <v>107</v>
      </c>
    </row>
    <row r="16" spans="1:2" ht="15">
      <c r="A16" t="s">
        <v>100</v>
      </c>
      <c r="B16">
        <v>0.625</v>
      </c>
    </row>
    <row r="17" spans="1:2" ht="15">
      <c r="A17" t="s">
        <v>101</v>
      </c>
      <c r="B17">
        <f>B16*25.4</f>
        <v>15.875</v>
      </c>
    </row>
    <row r="18" spans="1:2" ht="15">
      <c r="A18" t="s">
        <v>104</v>
      </c>
      <c r="B18" s="16">
        <f>B8*(PI()*B17/2)^2</f>
        <v>76546.4889035721</v>
      </c>
    </row>
    <row r="19" spans="1:2" ht="15">
      <c r="A19" t="s">
        <v>102</v>
      </c>
      <c r="B19" s="16">
        <f>B18/2/1000</f>
        <v>38.27324445178605</v>
      </c>
    </row>
    <row r="20" spans="1:2" ht="15">
      <c r="A20" t="s">
        <v>105</v>
      </c>
      <c r="B20" s="16">
        <f>B19*3</f>
        <v>114.81973335535815</v>
      </c>
    </row>
    <row r="21" spans="1:2" ht="15">
      <c r="A21" t="s">
        <v>119</v>
      </c>
      <c r="B21" s="16">
        <f>10*1.9*B20</f>
        <v>2181.574933751805</v>
      </c>
    </row>
    <row r="22" spans="1:2" ht="15">
      <c r="A22" s="52" t="s">
        <v>103</v>
      </c>
      <c r="B22" s="53">
        <f>B21/1000</f>
        <v>2.181574933751805</v>
      </c>
    </row>
    <row r="24" spans="1:2" ht="15">
      <c r="A24" s="54" t="s">
        <v>120</v>
      </c>
      <c r="B24" s="54">
        <v>12.7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10.00390625" style="0" customWidth="1"/>
    <col min="2" max="2" width="9.28125" style="0" customWidth="1"/>
    <col min="3" max="11" width="9.00390625" style="0" customWidth="1"/>
    <col min="12" max="12" width="22.8515625" style="0" customWidth="1"/>
  </cols>
  <sheetData>
    <row r="1" spans="1:10" ht="18.75">
      <c r="A1" s="56" t="s">
        <v>160</v>
      </c>
      <c r="D1" t="s">
        <v>165</v>
      </c>
      <c r="E1" s="57"/>
      <c r="F1" s="57"/>
      <c r="G1" s="57"/>
      <c r="H1" s="57"/>
      <c r="I1" s="57"/>
      <c r="J1" s="57"/>
    </row>
    <row r="2" ht="15">
      <c r="B2" s="50"/>
    </row>
    <row r="3" spans="1:12" ht="15" customHeight="1">
      <c r="A3" s="92" t="s">
        <v>135</v>
      </c>
      <c r="B3" s="92"/>
      <c r="C3" s="50" t="s">
        <v>124</v>
      </c>
      <c r="D3" s="68">
        <v>1</v>
      </c>
      <c r="E3" s="69">
        <v>2</v>
      </c>
      <c r="F3" s="69">
        <v>3</v>
      </c>
      <c r="G3" s="69">
        <v>4</v>
      </c>
      <c r="H3" s="69">
        <v>5</v>
      </c>
      <c r="I3" s="69">
        <v>6</v>
      </c>
      <c r="J3" s="70">
        <v>7</v>
      </c>
      <c r="K3" s="50" t="s">
        <v>125</v>
      </c>
      <c r="L3" s="52" t="s">
        <v>166</v>
      </c>
    </row>
    <row r="4" spans="1:12" ht="16.5" customHeight="1">
      <c r="A4" s="60" t="s">
        <v>136</v>
      </c>
      <c r="B4" s="60" t="s">
        <v>137</v>
      </c>
      <c r="C4" s="16">
        <v>0</v>
      </c>
      <c r="D4" s="72" t="s">
        <v>138</v>
      </c>
      <c r="E4" s="73" t="s">
        <v>141</v>
      </c>
      <c r="F4" s="73" t="s">
        <v>140</v>
      </c>
      <c r="G4" s="73" t="s">
        <v>139</v>
      </c>
      <c r="H4" s="73" t="s">
        <v>142</v>
      </c>
      <c r="I4" s="73" t="s">
        <v>143</v>
      </c>
      <c r="J4" s="74" t="s">
        <v>144</v>
      </c>
      <c r="K4" s="16">
        <v>603</v>
      </c>
      <c r="L4" s="58" t="s">
        <v>167</v>
      </c>
    </row>
    <row r="5" spans="1:12" ht="17.25">
      <c r="A5" s="57"/>
      <c r="B5" s="16"/>
      <c r="C5" s="75" t="s">
        <v>146</v>
      </c>
      <c r="D5" s="80">
        <v>254</v>
      </c>
      <c r="E5" s="71">
        <v>310.5</v>
      </c>
      <c r="F5" s="71">
        <v>295</v>
      </c>
      <c r="G5" s="71">
        <v>286</v>
      </c>
      <c r="H5" s="71">
        <v>270</v>
      </c>
      <c r="I5" s="71">
        <v>227</v>
      </c>
      <c r="J5" s="81">
        <v>178</v>
      </c>
      <c r="K5" s="76" t="s">
        <v>147</v>
      </c>
      <c r="L5" s="58" t="s">
        <v>134</v>
      </c>
    </row>
    <row r="6" spans="1:12" ht="15.75" thickBot="1">
      <c r="A6" s="57"/>
      <c r="B6" s="16"/>
      <c r="C6" s="75"/>
      <c r="D6" s="80">
        <v>94.5</v>
      </c>
      <c r="E6" s="71">
        <v>0</v>
      </c>
      <c r="F6" s="71">
        <v>0</v>
      </c>
      <c r="G6" s="71">
        <v>0</v>
      </c>
      <c r="H6" s="71">
        <v>0</v>
      </c>
      <c r="I6" s="71">
        <v>90</v>
      </c>
      <c r="J6" s="81">
        <v>180</v>
      </c>
      <c r="K6" s="76"/>
      <c r="L6" s="58" t="s">
        <v>159</v>
      </c>
    </row>
    <row r="7" spans="1:11" ht="15.75" thickTop="1">
      <c r="A7" s="57" t="s">
        <v>126</v>
      </c>
      <c r="B7" s="16">
        <v>295</v>
      </c>
      <c r="C7" s="61"/>
      <c r="D7" s="82"/>
      <c r="E7" s="83">
        <v>41</v>
      </c>
      <c r="F7" s="83">
        <v>0</v>
      </c>
      <c r="G7" s="83"/>
      <c r="H7" s="83"/>
      <c r="I7" s="83"/>
      <c r="J7" s="84"/>
      <c r="K7" s="62"/>
    </row>
    <row r="8" spans="1:11" ht="15">
      <c r="A8" s="57" t="s">
        <v>127</v>
      </c>
      <c r="B8" s="16">
        <v>250</v>
      </c>
      <c r="C8" s="63"/>
      <c r="D8" s="85">
        <v>103.5</v>
      </c>
      <c r="E8" s="64">
        <v>144</v>
      </c>
      <c r="F8" s="64">
        <v>130.5</v>
      </c>
      <c r="G8" s="64">
        <v>117</v>
      </c>
      <c r="H8" s="64">
        <v>67.5</v>
      </c>
      <c r="I8" s="64"/>
      <c r="J8" s="86"/>
      <c r="K8" s="65"/>
    </row>
    <row r="9" spans="1:11" ht="15">
      <c r="A9" s="57" t="s">
        <v>128</v>
      </c>
      <c r="B9" s="16">
        <v>205</v>
      </c>
      <c r="C9" s="63"/>
      <c r="D9" s="85">
        <v>189</v>
      </c>
      <c r="E9" s="64">
        <v>229.5</v>
      </c>
      <c r="F9" s="64">
        <v>243</v>
      </c>
      <c r="G9" s="64">
        <v>247.5</v>
      </c>
      <c r="H9" s="64">
        <v>193.5</v>
      </c>
      <c r="I9" s="64">
        <v>139.5</v>
      </c>
      <c r="J9" s="86"/>
      <c r="K9" s="65"/>
    </row>
    <row r="10" spans="1:11" ht="15">
      <c r="A10" s="57" t="s">
        <v>129</v>
      </c>
      <c r="B10" s="16">
        <v>160</v>
      </c>
      <c r="C10" s="63">
        <v>211.5</v>
      </c>
      <c r="D10" s="85">
        <v>252</v>
      </c>
      <c r="E10" s="64">
        <v>306</v>
      </c>
      <c r="F10" s="64">
        <v>337.5</v>
      </c>
      <c r="G10" s="64">
        <v>355.5</v>
      </c>
      <c r="H10" s="64">
        <v>297</v>
      </c>
      <c r="I10" s="64">
        <v>238.5</v>
      </c>
      <c r="J10" s="86">
        <v>207</v>
      </c>
      <c r="K10" s="65"/>
    </row>
    <row r="11" spans="1:11" ht="15">
      <c r="A11" s="57" t="s">
        <v>130</v>
      </c>
      <c r="B11" s="16">
        <v>115</v>
      </c>
      <c r="C11" s="63"/>
      <c r="D11" s="85">
        <v>297</v>
      </c>
      <c r="E11" s="64">
        <v>373.5</v>
      </c>
      <c r="F11" s="64">
        <v>418.5</v>
      </c>
      <c r="G11" s="64">
        <v>441</v>
      </c>
      <c r="H11" s="64">
        <v>391.5</v>
      </c>
      <c r="I11" s="64">
        <v>324</v>
      </c>
      <c r="J11" s="86">
        <v>270</v>
      </c>
      <c r="K11" s="65"/>
    </row>
    <row r="12" spans="1:11" ht="15">
      <c r="A12" s="57" t="s">
        <v>131</v>
      </c>
      <c r="B12" s="16">
        <v>72</v>
      </c>
      <c r="C12" s="63"/>
      <c r="D12" s="85">
        <v>328.5</v>
      </c>
      <c r="E12" s="64">
        <v>423</v>
      </c>
      <c r="F12" s="64">
        <v>481.5</v>
      </c>
      <c r="G12" s="64">
        <v>508.5</v>
      </c>
      <c r="H12" s="64">
        <v>459</v>
      </c>
      <c r="I12" s="64">
        <v>391.5</v>
      </c>
      <c r="J12" s="86">
        <v>315</v>
      </c>
      <c r="K12" s="65"/>
    </row>
    <row r="13" spans="1:11" ht="15">
      <c r="A13" s="57" t="s">
        <v>132</v>
      </c>
      <c r="B13" s="16">
        <v>27</v>
      </c>
      <c r="C13" s="63"/>
      <c r="D13" s="85">
        <v>355.5</v>
      </c>
      <c r="E13" s="64">
        <v>463.5</v>
      </c>
      <c r="F13" s="64">
        <v>531</v>
      </c>
      <c r="G13" s="64">
        <v>553.5</v>
      </c>
      <c r="H13" s="64">
        <v>513</v>
      </c>
      <c r="I13" s="64">
        <v>450</v>
      </c>
      <c r="J13" s="86">
        <v>351</v>
      </c>
      <c r="K13" s="65"/>
    </row>
    <row r="14" spans="1:11" ht="18" thickBot="1">
      <c r="A14" s="57" t="s">
        <v>148</v>
      </c>
      <c r="B14" s="16">
        <v>0</v>
      </c>
      <c r="C14" s="66">
        <v>225</v>
      </c>
      <c r="D14" s="87">
        <v>364.5</v>
      </c>
      <c r="E14" s="88">
        <v>477</v>
      </c>
      <c r="F14" s="88">
        <v>553.5</v>
      </c>
      <c r="G14" s="88">
        <v>576</v>
      </c>
      <c r="H14" s="88">
        <v>540</v>
      </c>
      <c r="I14" s="88">
        <v>481.5</v>
      </c>
      <c r="J14" s="89">
        <v>369</v>
      </c>
      <c r="K14" s="67">
        <v>315</v>
      </c>
    </row>
    <row r="15" spans="1:11" ht="31.5" customHeight="1" thickTop="1">
      <c r="A15" s="93" t="s">
        <v>162</v>
      </c>
      <c r="B15" s="93"/>
      <c r="C15" s="79">
        <v>225</v>
      </c>
      <c r="D15" s="79">
        <v>375</v>
      </c>
      <c r="E15" s="79">
        <v>478</v>
      </c>
      <c r="F15" s="79">
        <v>552</v>
      </c>
      <c r="G15" s="79">
        <v>574</v>
      </c>
      <c r="H15" s="79">
        <v>544</v>
      </c>
      <c r="I15" s="79">
        <v>477</v>
      </c>
      <c r="J15" s="79">
        <v>360</v>
      </c>
      <c r="K15" s="79">
        <v>300</v>
      </c>
    </row>
    <row r="16" spans="1:11" ht="15">
      <c r="A16" s="57"/>
      <c r="B16" s="16"/>
      <c r="C16" s="91" t="s">
        <v>161</v>
      </c>
      <c r="D16" s="91"/>
      <c r="E16" s="91"/>
      <c r="F16" s="91"/>
      <c r="G16" s="91"/>
      <c r="H16" s="91"/>
      <c r="I16" s="91"/>
      <c r="J16" s="91"/>
      <c r="K16" s="91"/>
    </row>
    <row r="18" spans="2:3" ht="17.25">
      <c r="B18" s="77" t="s">
        <v>145</v>
      </c>
      <c r="C18" t="s">
        <v>169</v>
      </c>
    </row>
    <row r="19" spans="2:3" ht="17.25">
      <c r="B19" s="77">
        <v>1</v>
      </c>
      <c r="C19" t="s">
        <v>149</v>
      </c>
    </row>
    <row r="20" spans="2:3" ht="17.25">
      <c r="B20" s="77">
        <v>2</v>
      </c>
      <c r="C20" t="s">
        <v>150</v>
      </c>
    </row>
    <row r="21" spans="2:3" ht="17.25">
      <c r="B21" s="77">
        <v>3</v>
      </c>
      <c r="C21" s="59" t="s">
        <v>168</v>
      </c>
    </row>
  </sheetData>
  <sheetProtection/>
  <mergeCells count="3">
    <mergeCell ref="C16:K16"/>
    <mergeCell ref="A3:B3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421875" style="0" customWidth="1"/>
    <col min="2" max="2" width="9.28125" style="0" customWidth="1"/>
    <col min="3" max="3" width="11.57421875" style="0" customWidth="1"/>
  </cols>
  <sheetData>
    <row r="1" spans="1:3" ht="15">
      <c r="A1" t="s">
        <v>171</v>
      </c>
      <c r="B1" t="s">
        <v>172</v>
      </c>
      <c r="C1" t="s">
        <v>173</v>
      </c>
    </row>
    <row r="2" spans="1:3" ht="15">
      <c r="A2">
        <v>1</v>
      </c>
      <c r="B2">
        <v>10</v>
      </c>
      <c r="C2">
        <v>10</v>
      </c>
    </row>
    <row r="3" spans="1:2" ht="15">
      <c r="A3">
        <v>2</v>
      </c>
      <c r="B3">
        <f>B2+36</f>
        <v>46</v>
      </c>
    </row>
    <row r="4" spans="1:3" ht="15">
      <c r="A4">
        <v>3</v>
      </c>
      <c r="B4">
        <f aca="true" t="shared" si="0" ref="B4:B30">B3+36</f>
        <v>82</v>
      </c>
      <c r="C4">
        <f>C2+72</f>
        <v>82</v>
      </c>
    </row>
    <row r="5" spans="1:2" ht="15">
      <c r="A5">
        <v>4</v>
      </c>
      <c r="B5">
        <f t="shared" si="0"/>
        <v>118</v>
      </c>
    </row>
    <row r="6" spans="1:3" ht="15">
      <c r="A6">
        <v>5</v>
      </c>
      <c r="B6">
        <f t="shared" si="0"/>
        <v>154</v>
      </c>
      <c r="C6">
        <f>C4+72</f>
        <v>154</v>
      </c>
    </row>
    <row r="7" spans="1:2" ht="15">
      <c r="A7">
        <v>6</v>
      </c>
      <c r="B7">
        <f t="shared" si="0"/>
        <v>190</v>
      </c>
    </row>
    <row r="8" spans="1:3" ht="15">
      <c r="A8">
        <v>7</v>
      </c>
      <c r="B8">
        <f t="shared" si="0"/>
        <v>226</v>
      </c>
      <c r="C8">
        <f>C6+72</f>
        <v>226</v>
      </c>
    </row>
    <row r="9" spans="1:2" ht="15">
      <c r="A9">
        <v>8</v>
      </c>
      <c r="B9">
        <f t="shared" si="0"/>
        <v>262</v>
      </c>
    </row>
    <row r="10" spans="1:3" ht="15">
      <c r="A10">
        <v>9</v>
      </c>
      <c r="B10">
        <f t="shared" si="0"/>
        <v>298</v>
      </c>
      <c r="C10">
        <f>C8+72</f>
        <v>298</v>
      </c>
    </row>
    <row r="11" spans="1:2" ht="15">
      <c r="A11">
        <v>10</v>
      </c>
      <c r="B11">
        <f t="shared" si="0"/>
        <v>334</v>
      </c>
    </row>
    <row r="12" spans="1:3" ht="15">
      <c r="A12">
        <v>11</v>
      </c>
      <c r="B12">
        <f t="shared" si="0"/>
        <v>370</v>
      </c>
      <c r="C12">
        <f>C10+72</f>
        <v>370</v>
      </c>
    </row>
    <row r="13" spans="1:2" ht="15">
      <c r="A13">
        <v>12</v>
      </c>
      <c r="B13">
        <f t="shared" si="0"/>
        <v>406</v>
      </c>
    </row>
    <row r="14" spans="1:3" ht="15">
      <c r="A14">
        <v>13</v>
      </c>
      <c r="B14">
        <f t="shared" si="0"/>
        <v>442</v>
      </c>
      <c r="C14">
        <f>C12+72</f>
        <v>442</v>
      </c>
    </row>
    <row r="15" spans="1:2" ht="15">
      <c r="A15">
        <v>14</v>
      </c>
      <c r="B15">
        <f t="shared" si="0"/>
        <v>478</v>
      </c>
    </row>
    <row r="16" spans="1:3" ht="15">
      <c r="A16">
        <v>15</v>
      </c>
      <c r="B16">
        <f t="shared" si="0"/>
        <v>514</v>
      </c>
      <c r="C16">
        <f>C14+72</f>
        <v>514</v>
      </c>
    </row>
    <row r="17" spans="1:2" ht="15">
      <c r="A17">
        <v>16</v>
      </c>
      <c r="B17">
        <f t="shared" si="0"/>
        <v>550</v>
      </c>
    </row>
    <row r="18" spans="1:3" ht="15">
      <c r="A18">
        <v>17</v>
      </c>
      <c r="B18">
        <f t="shared" si="0"/>
        <v>586</v>
      </c>
      <c r="C18">
        <f>C16+72</f>
        <v>586</v>
      </c>
    </row>
    <row r="19" spans="1:2" ht="15">
      <c r="A19">
        <v>18</v>
      </c>
      <c r="B19">
        <f t="shared" si="0"/>
        <v>622</v>
      </c>
    </row>
    <row r="20" spans="1:3" ht="15">
      <c r="A20">
        <v>19</v>
      </c>
      <c r="B20">
        <f t="shared" si="0"/>
        <v>658</v>
      </c>
      <c r="C20">
        <f>C18+72</f>
        <v>658</v>
      </c>
    </row>
    <row r="21" spans="1:2" ht="15">
      <c r="A21">
        <v>20</v>
      </c>
      <c r="B21">
        <f t="shared" si="0"/>
        <v>694</v>
      </c>
    </row>
    <row r="22" spans="1:3" ht="15">
      <c r="A22">
        <v>21</v>
      </c>
      <c r="B22">
        <f t="shared" si="0"/>
        <v>730</v>
      </c>
      <c r="C22">
        <f>C20+72</f>
        <v>730</v>
      </c>
    </row>
    <row r="23" spans="1:2" ht="15">
      <c r="A23">
        <v>22</v>
      </c>
      <c r="B23">
        <f t="shared" si="0"/>
        <v>766</v>
      </c>
    </row>
    <row r="24" spans="1:3" ht="15">
      <c r="A24">
        <v>23</v>
      </c>
      <c r="B24">
        <f t="shared" si="0"/>
        <v>802</v>
      </c>
      <c r="C24">
        <f>C22+72</f>
        <v>802</v>
      </c>
    </row>
    <row r="25" spans="1:2" ht="15">
      <c r="A25">
        <v>24</v>
      </c>
      <c r="B25">
        <f t="shared" si="0"/>
        <v>838</v>
      </c>
    </row>
    <row r="26" spans="1:3" ht="15">
      <c r="A26">
        <v>25</v>
      </c>
      <c r="B26">
        <f t="shared" si="0"/>
        <v>874</v>
      </c>
      <c r="C26">
        <f>C24+72</f>
        <v>874</v>
      </c>
    </row>
    <row r="27" spans="1:2" ht="15">
      <c r="A27">
        <v>26</v>
      </c>
      <c r="B27">
        <f t="shared" si="0"/>
        <v>910</v>
      </c>
    </row>
    <row r="28" spans="1:3" ht="15">
      <c r="A28">
        <v>27</v>
      </c>
      <c r="B28">
        <f t="shared" si="0"/>
        <v>946</v>
      </c>
      <c r="C28">
        <f>C26+72</f>
        <v>946</v>
      </c>
    </row>
    <row r="29" spans="1:2" ht="15">
      <c r="A29">
        <v>28</v>
      </c>
      <c r="B29">
        <f t="shared" si="0"/>
        <v>982</v>
      </c>
    </row>
    <row r="30" spans="1:3" ht="15">
      <c r="A30">
        <v>29</v>
      </c>
      <c r="B30">
        <f t="shared" si="0"/>
        <v>1018</v>
      </c>
      <c r="C30">
        <f>C28+72</f>
        <v>1018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van Vliet</dc:creator>
  <cp:keywords/>
  <dc:description/>
  <cp:lastModifiedBy>Pieter van Vliet</cp:lastModifiedBy>
  <cp:lastPrinted>2016-06-22T21:26:49Z</cp:lastPrinted>
  <dcterms:created xsi:type="dcterms:W3CDTF">2013-11-11T19:08:43Z</dcterms:created>
  <dcterms:modified xsi:type="dcterms:W3CDTF">2017-04-19T22:22:28Z</dcterms:modified>
  <cp:category/>
  <cp:version/>
  <cp:contentType/>
  <cp:contentStatus/>
</cp:coreProperties>
</file>